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\Desktop\2025-1S\AGRO-2025-1S\SEXTO-2025-1S\"/>
    </mc:Choice>
  </mc:AlternateContent>
  <xr:revisionPtr revIDLastSave="0" documentId="13_ncr:1_{2EA87BB1-490B-4992-8C67-BFC5A630CB54}" xr6:coauthVersionLast="47" xr6:coauthVersionMax="47" xr10:uidLastSave="{00000000-0000-0000-0000-000000000000}"/>
  <bookViews>
    <workbookView xWindow="-98" yWindow="-98" windowWidth="19396" windowHeight="11475" firstSheet="32" activeTab="41" xr2:uid="{00000000-000D-0000-FFFF-FFFF00000000}"/>
  </bookViews>
  <sheets>
    <sheet name="Preg Frec" sheetId="6" r:id="rId1"/>
    <sheet name="Preg Cant" sheetId="8" r:id="rId2"/>
    <sheet name="Tabu Pre 11" sheetId="41" r:id="rId3"/>
    <sheet name="Tabulac Hosp" sheetId="7" r:id="rId4"/>
    <sheet name="Frac Mer HOG PRO" sheetId="27" r:id="rId5"/>
    <sheet name="Frac hos cli " sheetId="29" r:id="rId6"/>
    <sheet name="Frac Mer Ho SER" sheetId="26" r:id="rId7"/>
    <sheet name="Deman" sheetId="3" r:id="rId8"/>
    <sheet name="Insu" sheetId="42" r:id="rId9"/>
    <sheet name="Cap Pl" sheetId="5" r:id="rId10"/>
    <sheet name="Person" sheetId="9" r:id="rId11"/>
    <sheet name="Inv Cos" sheetId="10" r:id="rId12"/>
    <sheet name="INV" sheetId="20" r:id="rId13"/>
    <sheet name="A1." sheetId="19" r:id="rId14"/>
    <sheet name="A2." sheetId="12" r:id="rId15"/>
    <sheet name="A3." sheetId="13" r:id="rId16"/>
    <sheet name="A4." sheetId="14" r:id="rId17"/>
    <sheet name="A5." sheetId="15" r:id="rId18"/>
    <sheet name="A6." sheetId="16" r:id="rId19"/>
    <sheet name="A7." sheetId="17" r:id="rId20"/>
    <sheet name="A8" sheetId="18" r:id="rId21"/>
    <sheet name="Depre" sheetId="21" r:id="rId22"/>
    <sheet name="CNT" sheetId="22" r:id="rId23"/>
    <sheet name="Amor" sheetId="31" r:id="rId24"/>
    <sheet name="Pre Ing" sheetId="30" r:id="rId25"/>
    <sheet name="Pre Tot Ing" sheetId="32" r:id="rId26"/>
    <sheet name="Costos" sheetId="33" r:id="rId27"/>
    <sheet name="Remun" sheetId="23" r:id="rId28"/>
    <sheet name="MP" sheetId="25" r:id="rId29"/>
    <sheet name="PER YG" sheetId="34" r:id="rId30"/>
    <sheet name="CAPM; WACC" sheetId="47" r:id="rId31"/>
    <sheet name="FLC F W" sheetId="49" r:id="rId32"/>
    <sheet name="FLC F CAP" sheetId="50" r:id="rId33"/>
    <sheet name="TIR PRY W" sheetId="37" r:id="rId34"/>
    <sheet name="TIR AX CAPM" sheetId="52" r:id="rId35"/>
    <sheet name="PE" sheetId="48" r:id="rId36"/>
    <sheet name="PRC " sheetId="39" r:id="rId37"/>
    <sheet name="BAN G" sheetId="45" r:id="rId38"/>
    <sheet name="FLUJ CA" sheetId="35" r:id="rId39"/>
    <sheet name="RESU" sheetId="43" r:id="rId40"/>
    <sheet name="BC" sheetId="38" r:id="rId41"/>
    <sheet name="VAN" sheetId="36" r:id="rId42"/>
    <sheet name="Hoja5" sheetId="46" r:id="rId43"/>
  </sheets>
  <definedNames>
    <definedName name="_Toc347309579" localSheetId="7">Deman!$Q$3</definedName>
    <definedName name="_Toc422244648" localSheetId="5">'Frac hos cli '!$C$2</definedName>
    <definedName name="_Toc422244648" localSheetId="6">'Frac Mer Ho SER'!$C$2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34" l="1"/>
  <c r="I11" i="34"/>
  <c r="D17" i="39" l="1"/>
  <c r="D30" i="52"/>
  <c r="F26" i="52"/>
  <c r="D22" i="52"/>
  <c r="D21" i="52"/>
  <c r="D20" i="52"/>
  <c r="D19" i="52"/>
  <c r="D18" i="52"/>
  <c r="D17" i="52"/>
  <c r="M16" i="47" l="1"/>
  <c r="K16" i="47" l="1"/>
  <c r="K17" i="47" s="1"/>
  <c r="M17" i="47" s="1"/>
  <c r="K18" i="47" l="1"/>
  <c r="C9" i="47"/>
  <c r="E2" i="50" s="1"/>
  <c r="D3" i="23"/>
  <c r="E3" i="23"/>
  <c r="G3" i="23"/>
  <c r="H5" i="23"/>
  <c r="H4" i="23"/>
  <c r="H3" i="23"/>
  <c r="F3" i="23"/>
  <c r="K21" i="47" l="1"/>
  <c r="K22" i="47" s="1"/>
  <c r="K7" i="47" s="1"/>
  <c r="K19" i="47"/>
  <c r="D3" i="52"/>
  <c r="M9" i="50"/>
  <c r="M5" i="50"/>
  <c r="M7" i="50"/>
  <c r="M8" i="50"/>
  <c r="M10" i="50"/>
  <c r="M6" i="50"/>
  <c r="K18" i="48"/>
  <c r="T49" i="48" s="1"/>
  <c r="T54" i="48" s="1"/>
  <c r="V54" i="48" s="1"/>
  <c r="J18" i="48"/>
  <c r="K49" i="48" s="1"/>
  <c r="AR23" i="48"/>
  <c r="AR29" i="48" s="1"/>
  <c r="AT29" i="48" s="1"/>
  <c r="AJ23" i="48"/>
  <c r="AB23" i="48"/>
  <c r="AB29" i="48" s="1"/>
  <c r="AD29" i="48" s="1"/>
  <c r="T23" i="48"/>
  <c r="I18" i="48"/>
  <c r="H18" i="48"/>
  <c r="G18" i="48"/>
  <c r="F18" i="48"/>
  <c r="E18" i="48"/>
  <c r="L23" i="48" s="1"/>
  <c r="D30" i="37"/>
  <c r="D7" i="52" l="1"/>
  <c r="D9" i="52"/>
  <c r="D11" i="52"/>
  <c r="D6" i="52"/>
  <c r="C27" i="52"/>
  <c r="D27" i="52" s="1"/>
  <c r="D10" i="52"/>
  <c r="D8" i="52"/>
  <c r="AT23" i="48"/>
  <c r="V49" i="48"/>
  <c r="T53" i="48"/>
  <c r="V53" i="48" s="1"/>
  <c r="T55" i="48"/>
  <c r="V55" i="48" s="1"/>
  <c r="T50" i="48"/>
  <c r="T52" i="48"/>
  <c r="K50" i="48"/>
  <c r="K52" i="48"/>
  <c r="M49" i="48"/>
  <c r="K53" i="48"/>
  <c r="M53" i="48" s="1"/>
  <c r="K54" i="48"/>
  <c r="M54" i="48" s="1"/>
  <c r="K55" i="48"/>
  <c r="M55" i="48" s="1"/>
  <c r="AD23" i="48"/>
  <c r="AB24" i="48"/>
  <c r="AD24" i="48" s="1"/>
  <c r="AR24" i="48"/>
  <c r="AR25" i="48" s="1"/>
  <c r="AT25" i="48" s="1"/>
  <c r="AR26" i="48"/>
  <c r="T28" i="48"/>
  <c r="V28" i="48" s="1"/>
  <c r="T26" i="48"/>
  <c r="T24" i="48"/>
  <c r="T29" i="48"/>
  <c r="V29" i="48" s="1"/>
  <c r="T27" i="48"/>
  <c r="V27" i="48" s="1"/>
  <c r="V23" i="48"/>
  <c r="L29" i="48"/>
  <c r="N29" i="48" s="1"/>
  <c r="L27" i="48"/>
  <c r="N27" i="48" s="1"/>
  <c r="N23" i="48"/>
  <c r="L28" i="48"/>
  <c r="N28" i="48" s="1"/>
  <c r="AJ28" i="48"/>
  <c r="AL28" i="48" s="1"/>
  <c r="AJ24" i="48"/>
  <c r="AL24" i="48" s="1"/>
  <c r="AJ29" i="48"/>
  <c r="AL29" i="48" s="1"/>
  <c r="AJ27" i="48"/>
  <c r="AL27" i="48" s="1"/>
  <c r="AJ26" i="48"/>
  <c r="AL23" i="48"/>
  <c r="L26" i="48"/>
  <c r="L24" i="48"/>
  <c r="AJ25" i="48"/>
  <c r="AL25" i="48" s="1"/>
  <c r="AB28" i="48"/>
  <c r="AD28" i="48" s="1"/>
  <c r="AR28" i="48"/>
  <c r="AT28" i="48" s="1"/>
  <c r="AB25" i="48"/>
  <c r="AD25" i="48" s="1"/>
  <c r="AB26" i="48"/>
  <c r="AB27" i="48"/>
  <c r="AD27" i="48" s="1"/>
  <c r="AR27" i="48"/>
  <c r="AT27" i="48" s="1"/>
  <c r="K4" i="47"/>
  <c r="K8" i="47"/>
  <c r="C26" i="46"/>
  <c r="D15" i="46"/>
  <c r="V50" i="48" l="1"/>
  <c r="T51" i="48"/>
  <c r="V51" i="48" s="1"/>
  <c r="AT24" i="48"/>
  <c r="K51" i="48"/>
  <c r="M51" i="48" s="1"/>
  <c r="M50" i="48"/>
  <c r="L25" i="48"/>
  <c r="N25" i="48" s="1"/>
  <c r="N24" i="48"/>
  <c r="V24" i="48"/>
  <c r="T25" i="48"/>
  <c r="V25" i="48" s="1"/>
  <c r="E15" i="46"/>
  <c r="F15" i="46"/>
  <c r="G15" i="46"/>
  <c r="D1" i="36" l="1"/>
  <c r="H13" i="23"/>
  <c r="H12" i="23"/>
  <c r="H11" i="23"/>
  <c r="F13" i="23"/>
  <c r="F12" i="23"/>
  <c r="F11" i="23"/>
  <c r="F5" i="23"/>
  <c r="F4" i="23"/>
  <c r="C12" i="45" l="1"/>
  <c r="C8" i="42" l="1"/>
  <c r="C29" i="42"/>
  <c r="L13" i="27"/>
  <c r="M11" i="27"/>
  <c r="N11" i="27" s="1"/>
  <c r="O11" i="27" l="1"/>
  <c r="P11" i="27" l="1"/>
  <c r="Q11" i="27" s="1"/>
  <c r="R11" i="27" s="1"/>
  <c r="D15" i="25" l="1"/>
  <c r="D16" i="25"/>
  <c r="D17" i="25"/>
  <c r="C11" i="33"/>
  <c r="C37" i="33" s="1"/>
  <c r="L39" i="22"/>
  <c r="L38" i="22"/>
  <c r="L29" i="22"/>
  <c r="M29" i="22"/>
  <c r="G13" i="22"/>
  <c r="L40" i="22" l="1"/>
  <c r="K5" i="48" s="1"/>
  <c r="G5" i="22"/>
  <c r="C23" i="33" s="1"/>
  <c r="C53" i="33" s="1"/>
  <c r="C66" i="33" s="1"/>
  <c r="G6" i="22"/>
  <c r="C24" i="33" s="1"/>
  <c r="C54" i="33" s="1"/>
  <c r="C67" i="33" s="1"/>
  <c r="J12" i="3"/>
  <c r="J19" i="3" s="1"/>
  <c r="B2" i="26"/>
  <c r="I9" i="41"/>
  <c r="J10" i="41" s="1"/>
  <c r="F48" i="41"/>
  <c r="E48" i="41"/>
  <c r="D48" i="41"/>
  <c r="C38" i="41"/>
  <c r="G33" i="41"/>
  <c r="G31" i="41"/>
  <c r="G29" i="41"/>
  <c r="H29" i="41" s="1"/>
  <c r="E18" i="26" s="1"/>
  <c r="F18" i="26" s="1"/>
  <c r="C22" i="26" s="1"/>
  <c r="I28" i="41"/>
  <c r="L28" i="41" s="1"/>
  <c r="G27" i="41"/>
  <c r="G25" i="41"/>
  <c r="G23" i="41"/>
  <c r="J23" i="41" s="1"/>
  <c r="I5" i="26" s="1"/>
  <c r="I22" i="41"/>
  <c r="K22" i="41" s="1"/>
  <c r="G21" i="41"/>
  <c r="H21" i="41" s="1"/>
  <c r="C5" i="26" s="1"/>
  <c r="C18" i="26" s="1"/>
  <c r="D18" i="26" s="1"/>
  <c r="G19" i="41"/>
  <c r="G17" i="41"/>
  <c r="I15" i="41"/>
  <c r="L15" i="41" s="1"/>
  <c r="G15" i="41"/>
  <c r="G13" i="41"/>
  <c r="G11" i="41"/>
  <c r="G9" i="41"/>
  <c r="G7" i="41"/>
  <c r="G5" i="41"/>
  <c r="G3" i="41"/>
  <c r="L9" i="41" l="1"/>
  <c r="I29" i="41"/>
  <c r="G18" i="26" s="1"/>
  <c r="H18" i="26" s="1"/>
  <c r="E22" i="26" s="1"/>
  <c r="F22" i="26" s="1"/>
  <c r="K9" i="41"/>
  <c r="G5" i="27" s="1"/>
  <c r="J28" i="41"/>
  <c r="J9" i="41"/>
  <c r="C5" i="27" s="1"/>
  <c r="I23" i="41"/>
  <c r="G5" i="26" s="1"/>
  <c r="H5" i="26" s="1"/>
  <c r="J29" i="41"/>
  <c r="I18" i="26" s="1"/>
  <c r="J18" i="26" s="1"/>
  <c r="E5" i="27"/>
  <c r="K12" i="41"/>
  <c r="K28" i="41"/>
  <c r="H23" i="41"/>
  <c r="E5" i="26" s="1"/>
  <c r="L22" i="41"/>
  <c r="J22" i="41"/>
  <c r="J15" i="41"/>
  <c r="K15" i="41"/>
  <c r="I9" i="29"/>
  <c r="H5" i="27" l="1"/>
  <c r="Q10" i="27" s="1"/>
  <c r="Q9" i="27" s="1"/>
  <c r="P10" i="27"/>
  <c r="P9" i="27" s="1"/>
  <c r="F5" i="27"/>
  <c r="O10" i="27" s="1"/>
  <c r="O9" i="27" s="1"/>
  <c r="N10" i="27"/>
  <c r="N9" i="27" s="1"/>
  <c r="K10" i="41"/>
  <c r="L10" i="27"/>
  <c r="L9" i="27" s="1"/>
  <c r="D5" i="27"/>
  <c r="M10" i="27" l="1"/>
  <c r="I5" i="27"/>
  <c r="B36" i="3" s="1"/>
  <c r="R10" i="27" l="1"/>
  <c r="M9" i="27"/>
  <c r="R9" i="27" s="1"/>
  <c r="D3" i="38" l="1"/>
  <c r="D10" i="38" s="1"/>
  <c r="D18" i="37"/>
  <c r="D19" i="37"/>
  <c r="D20" i="37"/>
  <c r="D21" i="37"/>
  <c r="D22" i="37"/>
  <c r="D17" i="37"/>
  <c r="F26" i="37"/>
  <c r="D6" i="38" l="1"/>
  <c r="D9" i="38"/>
  <c r="D8" i="38"/>
  <c r="D7" i="38"/>
  <c r="C76" i="33" l="1"/>
  <c r="C13" i="48" s="1"/>
  <c r="I12" i="31"/>
  <c r="I11" i="31"/>
  <c r="G16" i="22" s="1"/>
  <c r="H15" i="22" s="1"/>
  <c r="H12" i="22"/>
  <c r="J13" i="48" l="1"/>
  <c r="K13" i="48"/>
  <c r="D4" i="36"/>
  <c r="C16" i="19"/>
  <c r="D14" i="25"/>
  <c r="D13" i="25"/>
  <c r="D10" i="21"/>
  <c r="F10" i="21" s="1"/>
  <c r="D5" i="17"/>
  <c r="D7" i="36"/>
  <c r="G16" i="21"/>
  <c r="E16" i="35" s="1"/>
  <c r="H16" i="21"/>
  <c r="F16" i="35" s="1"/>
  <c r="I16" i="21"/>
  <c r="G16" i="35" s="1"/>
  <c r="J16" i="21"/>
  <c r="H16" i="35" s="1"/>
  <c r="F16" i="21"/>
  <c r="D16" i="35" s="1"/>
  <c r="D15" i="21"/>
  <c r="D14" i="21"/>
  <c r="D13" i="21"/>
  <c r="C6" i="22"/>
  <c r="G5" i="20" s="1"/>
  <c r="D16" i="21" l="1"/>
  <c r="C19" i="35"/>
  <c r="G14" i="20"/>
  <c r="D9" i="36"/>
  <c r="D8" i="36"/>
  <c r="D6" i="36"/>
  <c r="D5" i="36"/>
  <c r="C9" i="33"/>
  <c r="C35" i="33"/>
  <c r="C74" i="33" s="1"/>
  <c r="C9" i="48" s="1"/>
  <c r="G10" i="21"/>
  <c r="H10" i="21" s="1"/>
  <c r="I10" i="21" s="1"/>
  <c r="J10" i="21" s="1"/>
  <c r="J9" i="48" l="1"/>
  <c r="K9" i="48"/>
  <c r="K10" i="21"/>
  <c r="D1" i="34" l="1"/>
  <c r="I8" i="34"/>
  <c r="I5" i="34"/>
  <c r="C7" i="33"/>
  <c r="C33" i="33" s="1"/>
  <c r="C8" i="34" s="1"/>
  <c r="C6" i="33"/>
  <c r="C32" i="33" s="1"/>
  <c r="C71" i="33" s="1"/>
  <c r="C14" i="30"/>
  <c r="E14" i="30" s="1"/>
  <c r="C14" i="23"/>
  <c r="G13" i="23"/>
  <c r="E13" i="23"/>
  <c r="D13" i="23"/>
  <c r="B14" i="23"/>
  <c r="H7" i="9"/>
  <c r="B37" i="3"/>
  <c r="C38" i="3"/>
  <c r="C1" i="3"/>
  <c r="C36" i="3" s="1"/>
  <c r="M34" i="29"/>
  <c r="N34" i="29" s="1"/>
  <c r="I34" i="29"/>
  <c r="K34" i="29"/>
  <c r="O36" i="29"/>
  <c r="N36" i="29"/>
  <c r="M36" i="29"/>
  <c r="L36" i="29"/>
  <c r="K36" i="29"/>
  <c r="K35" i="29" s="1"/>
  <c r="J36" i="29"/>
  <c r="I36" i="29"/>
  <c r="I35" i="29" s="1"/>
  <c r="C10" i="5" s="1"/>
  <c r="K28" i="29"/>
  <c r="I28" i="29"/>
  <c r="O30" i="29"/>
  <c r="N30" i="29"/>
  <c r="M30" i="29"/>
  <c r="M29" i="29" s="1"/>
  <c r="L30" i="29"/>
  <c r="K30" i="29"/>
  <c r="J30" i="29"/>
  <c r="I30" i="29"/>
  <c r="N28" i="29"/>
  <c r="I29" i="29"/>
  <c r="C9" i="5" s="1"/>
  <c r="K22" i="29"/>
  <c r="I22" i="29"/>
  <c r="O24" i="29"/>
  <c r="N24" i="29"/>
  <c r="M24" i="29"/>
  <c r="M23" i="29" s="1"/>
  <c r="L24" i="29"/>
  <c r="K24" i="29"/>
  <c r="J24" i="29"/>
  <c r="I24" i="29"/>
  <c r="N22" i="29"/>
  <c r="I16" i="29"/>
  <c r="K16" i="29"/>
  <c r="O18" i="29"/>
  <c r="N18" i="29"/>
  <c r="M18" i="29"/>
  <c r="M17" i="29" s="1"/>
  <c r="L18" i="29"/>
  <c r="K18" i="29"/>
  <c r="J18" i="29"/>
  <c r="I18" i="29"/>
  <c r="J11" i="29"/>
  <c r="K11" i="29"/>
  <c r="L11" i="29"/>
  <c r="M11" i="29"/>
  <c r="N11" i="29"/>
  <c r="O11" i="29"/>
  <c r="I11" i="29"/>
  <c r="M9" i="29"/>
  <c r="N9" i="29" s="1"/>
  <c r="K9" i="29"/>
  <c r="L9" i="29" s="1"/>
  <c r="J9" i="29"/>
  <c r="AD29" i="7"/>
  <c r="AE29" i="7"/>
  <c r="AC29" i="7"/>
  <c r="J5" i="26"/>
  <c r="G11" i="26" s="1"/>
  <c r="E11" i="26"/>
  <c r="F5" i="26"/>
  <c r="C11" i="26" s="1"/>
  <c r="D13" i="50" l="1"/>
  <c r="D13" i="49"/>
  <c r="I17" i="29"/>
  <c r="C5" i="25" s="1"/>
  <c r="C12" i="42" s="1"/>
  <c r="M35" i="29"/>
  <c r="N23" i="29"/>
  <c r="D36" i="3"/>
  <c r="K29" i="29"/>
  <c r="L10" i="29"/>
  <c r="K17" i="29"/>
  <c r="I23" i="29"/>
  <c r="C8" i="5" s="1"/>
  <c r="C7" i="25"/>
  <c r="N10" i="29"/>
  <c r="K10" i="29"/>
  <c r="D38" i="3"/>
  <c r="K12" i="3"/>
  <c r="K19" i="3" s="1"/>
  <c r="I13" i="23"/>
  <c r="J13" i="23" s="1"/>
  <c r="O9" i="29"/>
  <c r="O10" i="29" s="1"/>
  <c r="K23" i="29"/>
  <c r="D22" i="26"/>
  <c r="H11" i="26"/>
  <c r="G22" i="26"/>
  <c r="H22" i="26" s="1"/>
  <c r="F11" i="26"/>
  <c r="C8" i="25"/>
  <c r="C15" i="42" s="1"/>
  <c r="M10" i="29"/>
  <c r="B4" i="3"/>
  <c r="F36" i="3"/>
  <c r="C8" i="30"/>
  <c r="E8" i="30" s="1"/>
  <c r="J10" i="29"/>
  <c r="AE30" i="7"/>
  <c r="AC31" i="7" s="1"/>
  <c r="D5" i="29" s="1"/>
  <c r="I10" i="29"/>
  <c r="C4" i="25" s="1"/>
  <c r="C11" i="42" s="1"/>
  <c r="E36" i="3"/>
  <c r="C7" i="5"/>
  <c r="N35" i="29"/>
  <c r="N29" i="29"/>
  <c r="C72" i="33"/>
  <c r="D37" i="3"/>
  <c r="C37" i="3"/>
  <c r="D11" i="26"/>
  <c r="E5" i="25"/>
  <c r="C6" i="30"/>
  <c r="J34" i="29"/>
  <c r="L34" i="29"/>
  <c r="L35" i="29" s="1"/>
  <c r="J28" i="29"/>
  <c r="L28" i="29"/>
  <c r="L29" i="29" s="1"/>
  <c r="J22" i="29"/>
  <c r="L22" i="29"/>
  <c r="L23" i="29" s="1"/>
  <c r="J16" i="29"/>
  <c r="L16" i="29"/>
  <c r="L17" i="29" s="1"/>
  <c r="N16" i="29"/>
  <c r="N17" i="29" s="1"/>
  <c r="K6" i="48" l="1"/>
  <c r="K7" i="48" s="1"/>
  <c r="J6" i="48"/>
  <c r="C6" i="25"/>
  <c r="C13" i="42" s="1"/>
  <c r="AE31" i="7"/>
  <c r="F5" i="29" s="1"/>
  <c r="E38" i="3"/>
  <c r="E37" i="3" s="1"/>
  <c r="L12" i="3"/>
  <c r="L19" i="3" s="1"/>
  <c r="E7" i="25"/>
  <c r="C20" i="33" s="1"/>
  <c r="C14" i="42"/>
  <c r="I22" i="26"/>
  <c r="I24" i="26" s="1"/>
  <c r="S20" i="3" s="1"/>
  <c r="I11" i="26"/>
  <c r="C9" i="30"/>
  <c r="E9" i="30" s="1"/>
  <c r="E8" i="25"/>
  <c r="C21" i="33" s="1"/>
  <c r="E6" i="25"/>
  <c r="C19" i="33" s="1"/>
  <c r="C7" i="30"/>
  <c r="E7" i="30" s="1"/>
  <c r="C6" i="5"/>
  <c r="C11" i="5" s="1"/>
  <c r="AD31" i="7"/>
  <c r="E5" i="29" s="1"/>
  <c r="D8" i="35"/>
  <c r="E8" i="34"/>
  <c r="F8" i="34"/>
  <c r="G8" i="34"/>
  <c r="D8" i="34"/>
  <c r="C18" i="33"/>
  <c r="E6" i="30"/>
  <c r="J35" i="29"/>
  <c r="O34" i="29"/>
  <c r="J29" i="29"/>
  <c r="O28" i="29"/>
  <c r="J23" i="29"/>
  <c r="O22" i="29"/>
  <c r="J17" i="29"/>
  <c r="O16" i="29"/>
  <c r="D13" i="22"/>
  <c r="C5" i="33" s="1"/>
  <c r="C31" i="33" s="1"/>
  <c r="C70" i="33" s="1"/>
  <c r="C12" i="48" s="1"/>
  <c r="J12" i="48" l="1"/>
  <c r="K12" i="48"/>
  <c r="G8" i="35"/>
  <c r="G13" i="50"/>
  <c r="G13" i="49"/>
  <c r="F8" i="35"/>
  <c r="F13" i="49"/>
  <c r="F13" i="50"/>
  <c r="H8" i="35"/>
  <c r="H13" i="50"/>
  <c r="H13" i="49"/>
  <c r="E8" i="35"/>
  <c r="E13" i="50"/>
  <c r="E13" i="49"/>
  <c r="C16" i="42"/>
  <c r="I13" i="26"/>
  <c r="S13" i="3" s="1"/>
  <c r="S17" i="3" s="1"/>
  <c r="N10" i="3" s="1"/>
  <c r="F38" i="3"/>
  <c r="M12" i="3"/>
  <c r="M19" i="3" s="1"/>
  <c r="S24" i="3"/>
  <c r="N17" i="3" s="1"/>
  <c r="J17" i="3"/>
  <c r="J18" i="3" s="1"/>
  <c r="K17" i="48" s="1"/>
  <c r="K16" i="48" s="1"/>
  <c r="X49" i="48" s="1"/>
  <c r="S21" i="3"/>
  <c r="K17" i="3" s="1"/>
  <c r="K18" i="3" s="1"/>
  <c r="S22" i="3"/>
  <c r="L17" i="3" s="1"/>
  <c r="L18" i="3" s="1"/>
  <c r="S23" i="3"/>
  <c r="M17" i="3" s="1"/>
  <c r="C5" i="30"/>
  <c r="E4" i="25"/>
  <c r="C9" i="25"/>
  <c r="O23" i="29"/>
  <c r="B16" i="3"/>
  <c r="O35" i="29"/>
  <c r="B30" i="3"/>
  <c r="O29" i="29"/>
  <c r="B23" i="3"/>
  <c r="O17" i="29"/>
  <c r="B10" i="3"/>
  <c r="G10" i="22"/>
  <c r="G12" i="23"/>
  <c r="E12" i="23"/>
  <c r="D12" i="23"/>
  <c r="G11" i="23"/>
  <c r="E11" i="23"/>
  <c r="E14" i="23" s="1"/>
  <c r="D11" i="23"/>
  <c r="D5" i="23"/>
  <c r="E5" i="23"/>
  <c r="G5" i="23"/>
  <c r="C6" i="23"/>
  <c r="B6" i="23"/>
  <c r="G4" i="23"/>
  <c r="E4" i="23"/>
  <c r="D4" i="23"/>
  <c r="H6" i="23"/>
  <c r="X54" i="48" l="1"/>
  <c r="Y54" i="48" s="1"/>
  <c r="X50" i="48"/>
  <c r="X52" i="48"/>
  <c r="X55" i="48"/>
  <c r="Y55" i="48" s="1"/>
  <c r="Y49" i="48"/>
  <c r="X53" i="48"/>
  <c r="Y53" i="48" s="1"/>
  <c r="M18" i="3"/>
  <c r="J10" i="3"/>
  <c r="J11" i="3" s="1"/>
  <c r="S16" i="3"/>
  <c r="M10" i="3" s="1"/>
  <c r="M11" i="3" s="1"/>
  <c r="I5" i="23"/>
  <c r="J5" i="23" s="1"/>
  <c r="H17" i="30"/>
  <c r="J17" i="30" s="1"/>
  <c r="C7" i="32" s="1"/>
  <c r="I14" i="25"/>
  <c r="J4" i="3"/>
  <c r="J7" i="3" s="1"/>
  <c r="H14" i="30"/>
  <c r="J14" i="30" s="1"/>
  <c r="C6" i="32" s="1"/>
  <c r="G6" i="23"/>
  <c r="D14" i="23"/>
  <c r="S15" i="3"/>
  <c r="L10" i="3" s="1"/>
  <c r="L11" i="3" s="1"/>
  <c r="N12" i="3"/>
  <c r="N19" i="3" s="1"/>
  <c r="N18" i="3" s="1"/>
  <c r="F37" i="3"/>
  <c r="I4" i="23"/>
  <c r="J4" i="23" s="1"/>
  <c r="F14" i="23"/>
  <c r="S14" i="3"/>
  <c r="K10" i="3" s="1"/>
  <c r="K11" i="3" s="1"/>
  <c r="C30" i="3"/>
  <c r="B31" i="3"/>
  <c r="C17" i="25" s="1"/>
  <c r="E30" i="3"/>
  <c r="E31" i="3" s="1"/>
  <c r="D30" i="3"/>
  <c r="D31" i="3" s="1"/>
  <c r="F30" i="3"/>
  <c r="F31" i="3" s="1"/>
  <c r="G14" i="23"/>
  <c r="H14" i="23"/>
  <c r="C17" i="33"/>
  <c r="E9" i="25"/>
  <c r="G4" i="22" s="1"/>
  <c r="E5" i="30"/>
  <c r="E10" i="30" s="1"/>
  <c r="C10" i="30"/>
  <c r="D6" i="23"/>
  <c r="I12" i="23"/>
  <c r="J12" i="23" s="1"/>
  <c r="E6" i="23"/>
  <c r="F6" i="23"/>
  <c r="I11" i="23"/>
  <c r="I3" i="23"/>
  <c r="G17" i="25" l="1"/>
  <c r="I17" i="48"/>
  <c r="X51" i="48"/>
  <c r="Y51" i="48" s="1"/>
  <c r="Y50" i="48"/>
  <c r="J17" i="48"/>
  <c r="J5" i="48"/>
  <c r="J7" i="48" s="1"/>
  <c r="J16" i="48" s="1"/>
  <c r="O49" i="48" s="1"/>
  <c r="D7" i="32"/>
  <c r="D7" i="50"/>
  <c r="D7" i="49"/>
  <c r="D6" i="32"/>
  <c r="D6" i="49"/>
  <c r="D6" i="50"/>
  <c r="N11" i="3"/>
  <c r="I13" i="25"/>
  <c r="H9" i="30"/>
  <c r="J9" i="30" s="1"/>
  <c r="E17" i="25"/>
  <c r="C51" i="33" s="1"/>
  <c r="C64" i="33" s="1"/>
  <c r="I14" i="23"/>
  <c r="C22" i="33" s="1"/>
  <c r="C25" i="33" s="1"/>
  <c r="J11" i="23"/>
  <c r="J14" i="23" s="1"/>
  <c r="I6" i="23"/>
  <c r="J3" i="23"/>
  <c r="J6" i="23" s="1"/>
  <c r="P49" i="48" l="1"/>
  <c r="O55" i="48"/>
  <c r="P55" i="48" s="1"/>
  <c r="O54" i="48"/>
  <c r="P54" i="48" s="1"/>
  <c r="O52" i="48"/>
  <c r="O50" i="48"/>
  <c r="O53" i="48"/>
  <c r="P53" i="48" s="1"/>
  <c r="E7" i="32"/>
  <c r="E7" i="50"/>
  <c r="E7" i="49"/>
  <c r="E6" i="32"/>
  <c r="E6" i="49"/>
  <c r="E6" i="50"/>
  <c r="I15" i="25"/>
  <c r="C52" i="33"/>
  <c r="C65" i="33" s="1"/>
  <c r="D6" i="48" s="1"/>
  <c r="G7" i="22"/>
  <c r="H3" i="22" s="1"/>
  <c r="C4" i="33"/>
  <c r="G9" i="22"/>
  <c r="H8" i="22" s="1"/>
  <c r="D4" i="16"/>
  <c r="D5" i="16"/>
  <c r="D6" i="16"/>
  <c r="D7" i="16"/>
  <c r="D8" i="16"/>
  <c r="D9" i="16"/>
  <c r="D10" i="16"/>
  <c r="D11" i="16"/>
  <c r="D4" i="15"/>
  <c r="D5" i="15"/>
  <c r="D6" i="15"/>
  <c r="D7" i="15"/>
  <c r="D8" i="15"/>
  <c r="D9" i="15"/>
  <c r="D10" i="15"/>
  <c r="D11" i="15"/>
  <c r="P50" i="48" l="1"/>
  <c r="O51" i="48"/>
  <c r="P51" i="48" s="1"/>
  <c r="F7" i="32"/>
  <c r="F7" i="49"/>
  <c r="F7" i="50"/>
  <c r="F6" i="32"/>
  <c r="F6" i="49"/>
  <c r="F6" i="50"/>
  <c r="J15" i="25"/>
  <c r="J14" i="25"/>
  <c r="J13" i="25"/>
  <c r="C30" i="33"/>
  <c r="C7" i="34" s="1"/>
  <c r="D7" i="33"/>
  <c r="C12" i="33" s="1"/>
  <c r="B16" i="19"/>
  <c r="D15" i="19"/>
  <c r="D13" i="19"/>
  <c r="D12" i="19"/>
  <c r="D11" i="19"/>
  <c r="D10" i="19"/>
  <c r="D9" i="19"/>
  <c r="D8" i="19"/>
  <c r="D7" i="19"/>
  <c r="D6" i="19"/>
  <c r="D5" i="19"/>
  <c r="D4" i="19"/>
  <c r="D3" i="19"/>
  <c r="C8" i="18"/>
  <c r="B8" i="18"/>
  <c r="D7" i="18"/>
  <c r="D6" i="18"/>
  <c r="D5" i="18"/>
  <c r="D3" i="18"/>
  <c r="C6" i="17"/>
  <c r="B6" i="17"/>
  <c r="D4" i="17"/>
  <c r="D3" i="17"/>
  <c r="C12" i="16"/>
  <c r="B12" i="16"/>
  <c r="D3" i="16"/>
  <c r="D12" i="16" s="1"/>
  <c r="D10" i="20" s="1"/>
  <c r="C12" i="15"/>
  <c r="B12" i="15"/>
  <c r="D3" i="15"/>
  <c r="D12" i="15" s="1"/>
  <c r="D9" i="20" s="1"/>
  <c r="C14" i="14"/>
  <c r="B14" i="14"/>
  <c r="D13" i="14"/>
  <c r="D12" i="14"/>
  <c r="D11" i="14"/>
  <c r="D10" i="14"/>
  <c r="D9" i="14"/>
  <c r="D8" i="14"/>
  <c r="D7" i="14"/>
  <c r="D6" i="14"/>
  <c r="D5" i="14"/>
  <c r="D4" i="14"/>
  <c r="D3" i="14"/>
  <c r="C10" i="13"/>
  <c r="B10" i="13"/>
  <c r="D9" i="13"/>
  <c r="D8" i="13"/>
  <c r="D7" i="13"/>
  <c r="D6" i="13"/>
  <c r="D5" i="13"/>
  <c r="D4" i="13"/>
  <c r="D3" i="13"/>
  <c r="C8" i="12"/>
  <c r="B8" i="12"/>
  <c r="D7" i="12"/>
  <c r="D6" i="12"/>
  <c r="D5" i="12"/>
  <c r="D4" i="12"/>
  <c r="D3" i="12"/>
  <c r="D12" i="50" l="1"/>
  <c r="D12" i="49"/>
  <c r="G7" i="32"/>
  <c r="G7" i="49"/>
  <c r="G7" i="50"/>
  <c r="G6" i="32"/>
  <c r="G6" i="50"/>
  <c r="G6" i="49"/>
  <c r="D7" i="21"/>
  <c r="D10" i="13"/>
  <c r="D7" i="20" s="1"/>
  <c r="D8" i="18"/>
  <c r="D12" i="20" s="1"/>
  <c r="D9" i="21"/>
  <c r="D8" i="12"/>
  <c r="D6" i="20" s="1"/>
  <c r="D33" i="33"/>
  <c r="C38" i="33" s="1"/>
  <c r="C77" i="33" s="1"/>
  <c r="D7" i="35"/>
  <c r="C69" i="33"/>
  <c r="C8" i="48" s="1"/>
  <c r="D16" i="19"/>
  <c r="D5" i="20" s="1"/>
  <c r="D8" i="21"/>
  <c r="F8" i="21" s="1"/>
  <c r="G8" i="21" s="1"/>
  <c r="H8" i="21" s="1"/>
  <c r="D14" i="14"/>
  <c r="D8" i="20" s="1"/>
  <c r="D6" i="17"/>
  <c r="D11" i="20" s="1"/>
  <c r="F5" i="10"/>
  <c r="F6" i="10"/>
  <c r="F7" i="10"/>
  <c r="F8" i="10"/>
  <c r="F9" i="10"/>
  <c r="F10" i="10"/>
  <c r="F11" i="10"/>
  <c r="F4" i="10"/>
  <c r="D12" i="10"/>
  <c r="D7" i="9"/>
  <c r="K8" i="48" l="1"/>
  <c r="J8" i="48"/>
  <c r="H7" i="50"/>
  <c r="H7" i="49"/>
  <c r="H6" i="50"/>
  <c r="H6" i="49"/>
  <c r="F7" i="21"/>
  <c r="G7" i="21" s="1"/>
  <c r="H7" i="21" s="1"/>
  <c r="I7" i="21" s="1"/>
  <c r="J7" i="21" s="1"/>
  <c r="C13" i="45"/>
  <c r="F9" i="21"/>
  <c r="G9" i="21" s="1"/>
  <c r="H9" i="21" s="1"/>
  <c r="I9" i="21" s="1"/>
  <c r="J9" i="21" s="1"/>
  <c r="F12" i="10"/>
  <c r="K7" i="21" l="1"/>
  <c r="K9" i="21"/>
  <c r="E7" i="34"/>
  <c r="D7" i="34"/>
  <c r="G7" i="34"/>
  <c r="F7" i="34"/>
  <c r="D4" i="20"/>
  <c r="C11" i="45" s="1"/>
  <c r="C10" i="45" s="1"/>
  <c r="D6" i="21"/>
  <c r="D11" i="21" s="1"/>
  <c r="F7" i="35" l="1"/>
  <c r="F12" i="49"/>
  <c r="F12" i="50"/>
  <c r="E7" i="35"/>
  <c r="E12" i="50"/>
  <c r="E12" i="49"/>
  <c r="G7" i="35"/>
  <c r="G12" i="49"/>
  <c r="G12" i="50"/>
  <c r="H7" i="35"/>
  <c r="H12" i="49"/>
  <c r="H12" i="50"/>
  <c r="F6" i="21"/>
  <c r="D14" i="20"/>
  <c r="G4" i="20" s="1"/>
  <c r="G13" i="20" s="1"/>
  <c r="G15" i="20" s="1"/>
  <c r="AJ24" i="7"/>
  <c r="AJ21" i="7"/>
  <c r="AJ20" i="7"/>
  <c r="AJ19" i="7"/>
  <c r="AJ15" i="7"/>
  <c r="AJ16" i="7"/>
  <c r="AJ17" i="7"/>
  <c r="AJ14" i="7"/>
  <c r="AJ12" i="7"/>
  <c r="AJ11" i="7"/>
  <c r="AJ9" i="7"/>
  <c r="AJ6" i="7"/>
  <c r="AJ5" i="7"/>
  <c r="AI19" i="7"/>
  <c r="AI20" i="7"/>
  <c r="AI18" i="7"/>
  <c r="AI14" i="7"/>
  <c r="AI12" i="7"/>
  <c r="AI9" i="7"/>
  <c r="AI6" i="7"/>
  <c r="AH24" i="7"/>
  <c r="AH17" i="7"/>
  <c r="AH14" i="7"/>
  <c r="AH12" i="7"/>
  <c r="AH6" i="7"/>
  <c r="AG21" i="7"/>
  <c r="AG19" i="7"/>
  <c r="AG15" i="7"/>
  <c r="AG16" i="7"/>
  <c r="AG17" i="7"/>
  <c r="AG14" i="7"/>
  <c r="AG13" i="7"/>
  <c r="AG12" i="7"/>
  <c r="AG9" i="7"/>
  <c r="AG7" i="7"/>
  <c r="AG6" i="7"/>
  <c r="AF28" i="7"/>
  <c r="AF27" i="7"/>
  <c r="AF24" i="7"/>
  <c r="AF23" i="7"/>
  <c r="AF22" i="7"/>
  <c r="AF21" i="7"/>
  <c r="AF15" i="7"/>
  <c r="AF16" i="7"/>
  <c r="AF17" i="7"/>
  <c r="AF18" i="7"/>
  <c r="AF19" i="7"/>
  <c r="AF20" i="7"/>
  <c r="AF14" i="7"/>
  <c r="AF13" i="7"/>
  <c r="AF12" i="7"/>
  <c r="AF11" i="7"/>
  <c r="AF10" i="7"/>
  <c r="AF9" i="7"/>
  <c r="AF8" i="7"/>
  <c r="AF7" i="7"/>
  <c r="AF6" i="7"/>
  <c r="AF5" i="7"/>
  <c r="G26" i="6"/>
  <c r="Y32" i="8"/>
  <c r="V32" i="8"/>
  <c r="S32" i="8"/>
  <c r="O32" i="8"/>
  <c r="J32" i="8"/>
  <c r="E32" i="8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Z29" i="7"/>
  <c r="W29" i="7"/>
  <c r="T29" i="7"/>
  <c r="P29" i="7"/>
  <c r="K29" i="7"/>
  <c r="F29" i="7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I25" i="6"/>
  <c r="H25" i="6"/>
  <c r="C4" i="6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3" i="49" l="1"/>
  <c r="C24" i="50"/>
  <c r="AI29" i="7"/>
  <c r="AI30" i="7" s="1"/>
  <c r="AI31" i="7" s="1"/>
  <c r="AH29" i="7"/>
  <c r="AG29" i="7"/>
  <c r="AG30" i="7"/>
  <c r="AG31" i="7" s="1"/>
  <c r="AJ29" i="7"/>
  <c r="AJ30" i="7" s="1"/>
  <c r="AJ31" i="7" s="1"/>
  <c r="AF29" i="7"/>
  <c r="C18" i="35"/>
  <c r="G6" i="21"/>
  <c r="F11" i="21"/>
  <c r="AF30" i="7"/>
  <c r="D22" i="50" l="1"/>
  <c r="D21" i="49"/>
  <c r="D14" i="49"/>
  <c r="D15" i="50"/>
  <c r="AF31" i="7"/>
  <c r="D15" i="35"/>
  <c r="C34" i="33"/>
  <c r="C8" i="33"/>
  <c r="G11" i="21"/>
  <c r="H6" i="21"/>
  <c r="E4" i="3"/>
  <c r="C4" i="3"/>
  <c r="D4" i="3"/>
  <c r="F4" i="3"/>
  <c r="B5" i="3"/>
  <c r="C13" i="25" s="1"/>
  <c r="C10" i="3"/>
  <c r="C11" i="3" s="1"/>
  <c r="B11" i="3"/>
  <c r="C14" i="25" s="1"/>
  <c r="D10" i="3"/>
  <c r="D11" i="3" s="1"/>
  <c r="F10" i="3"/>
  <c r="F11" i="3" s="1"/>
  <c r="E10" i="3"/>
  <c r="E11" i="3" s="1"/>
  <c r="F23" i="3"/>
  <c r="F24" i="3" s="1"/>
  <c r="D23" i="3"/>
  <c r="D24" i="3" s="1"/>
  <c r="E23" i="3"/>
  <c r="E24" i="3" s="1"/>
  <c r="B24" i="3"/>
  <c r="C16" i="25" s="1"/>
  <c r="C23" i="3"/>
  <c r="C24" i="3" s="1"/>
  <c r="C16" i="3"/>
  <c r="D16" i="3"/>
  <c r="E16" i="3"/>
  <c r="B17" i="3"/>
  <c r="C15" i="25" s="1"/>
  <c r="F16" i="3"/>
  <c r="G14" i="25" l="1"/>
  <c r="F17" i="48"/>
  <c r="E15" i="35"/>
  <c r="E14" i="49"/>
  <c r="E22" i="50"/>
  <c r="E21" i="49"/>
  <c r="E15" i="50"/>
  <c r="G15" i="25"/>
  <c r="G17" i="48"/>
  <c r="G16" i="25"/>
  <c r="H17" i="48"/>
  <c r="G13" i="25"/>
  <c r="E17" i="48"/>
  <c r="C73" i="33"/>
  <c r="C10" i="48" s="1"/>
  <c r="D5" i="3"/>
  <c r="L4" i="3"/>
  <c r="C5" i="3"/>
  <c r="K4" i="3"/>
  <c r="K7" i="3" s="1"/>
  <c r="E5" i="3"/>
  <c r="M4" i="3"/>
  <c r="J5" i="3"/>
  <c r="C18" i="25"/>
  <c r="D5" i="48" s="1"/>
  <c r="F5" i="3"/>
  <c r="N4" i="3"/>
  <c r="H11" i="21"/>
  <c r="I6" i="21"/>
  <c r="H8" i="30"/>
  <c r="J8" i="30" s="1"/>
  <c r="E16" i="25"/>
  <c r="C50" i="33" s="1"/>
  <c r="C63" i="33" s="1"/>
  <c r="H7" i="30"/>
  <c r="J7" i="30" s="1"/>
  <c r="E15" i="25"/>
  <c r="C49" i="33" s="1"/>
  <c r="C62" i="33" s="1"/>
  <c r="H6" i="30"/>
  <c r="J6" i="30" s="1"/>
  <c r="E14" i="25"/>
  <c r="C48" i="33" s="1"/>
  <c r="C61" i="33" s="1"/>
  <c r="D17" i="3"/>
  <c r="F17" i="3"/>
  <c r="E17" i="3"/>
  <c r="C17" i="3"/>
  <c r="D7" i="48" l="1"/>
  <c r="D14" i="48" s="1"/>
  <c r="K10" i="48"/>
  <c r="J10" i="48"/>
  <c r="F15" i="35"/>
  <c r="F22" i="50"/>
  <c r="F15" i="50"/>
  <c r="F21" i="49"/>
  <c r="F14" i="49"/>
  <c r="G18" i="25"/>
  <c r="E13" i="25"/>
  <c r="E18" i="25" s="1"/>
  <c r="H5" i="30"/>
  <c r="H10" i="30" s="1"/>
  <c r="L5" i="3"/>
  <c r="M5" i="3"/>
  <c r="N5" i="3"/>
  <c r="I11" i="21"/>
  <c r="J6" i="21"/>
  <c r="C47" i="33"/>
  <c r="C55" i="33" s="1"/>
  <c r="G15" i="35" l="1"/>
  <c r="G15" i="50"/>
  <c r="G14" i="49"/>
  <c r="G21" i="49"/>
  <c r="G22" i="50"/>
  <c r="J5" i="30"/>
  <c r="J10" i="30" s="1"/>
  <c r="J11" i="21"/>
  <c r="K6" i="21"/>
  <c r="K11" i="21" s="1"/>
  <c r="H4" i="35" s="1"/>
  <c r="C60" i="33"/>
  <c r="D9" i="5"/>
  <c r="D10" i="5"/>
  <c r="D8" i="5"/>
  <c r="D6" i="5"/>
  <c r="D7" i="5"/>
  <c r="C31" i="3"/>
  <c r="H15" i="35" l="1"/>
  <c r="H21" i="49"/>
  <c r="H15" i="50"/>
  <c r="H14" i="49"/>
  <c r="H22" i="50"/>
  <c r="C5" i="32"/>
  <c r="C5" i="34"/>
  <c r="K5" i="3"/>
  <c r="D11" i="5"/>
  <c r="D5" i="35" l="1"/>
  <c r="D11" i="49"/>
  <c r="D15" i="49" s="1"/>
  <c r="D11" i="50"/>
  <c r="D5" i="50"/>
  <c r="D8" i="50" s="1"/>
  <c r="C8" i="32"/>
  <c r="C4" i="34" s="1"/>
  <c r="C6" i="34" s="1"/>
  <c r="D5" i="49"/>
  <c r="D8" i="49" s="1"/>
  <c r="D16" i="49" s="1"/>
  <c r="D5" i="32"/>
  <c r="D3" i="35"/>
  <c r="D6" i="35" s="1"/>
  <c r="D5" i="34"/>
  <c r="F5" i="34"/>
  <c r="G5" i="34"/>
  <c r="E5" i="34"/>
  <c r="I7" i="34" l="1"/>
  <c r="H11" i="49"/>
  <c r="H15" i="49" s="1"/>
  <c r="H11" i="50"/>
  <c r="F5" i="35"/>
  <c r="F11" i="50"/>
  <c r="F11" i="49"/>
  <c r="F15" i="49" s="1"/>
  <c r="G5" i="35"/>
  <c r="G11" i="50"/>
  <c r="G11" i="49"/>
  <c r="G15" i="49" s="1"/>
  <c r="E5" i="35"/>
  <c r="E11" i="49"/>
  <c r="E15" i="49" s="1"/>
  <c r="E11" i="50"/>
  <c r="E5" i="32"/>
  <c r="E5" i="50"/>
  <c r="E8" i="50" s="1"/>
  <c r="E5" i="49"/>
  <c r="E8" i="49" s="1"/>
  <c r="E16" i="49" s="1"/>
  <c r="D8" i="32"/>
  <c r="H5" i="35"/>
  <c r="D4" i="34" l="1"/>
  <c r="D6" i="34" s="1"/>
  <c r="E3" i="35"/>
  <c r="E6" i="35" s="1"/>
  <c r="E8" i="32"/>
  <c r="F5" i="32"/>
  <c r="F5" i="49"/>
  <c r="F8" i="49" s="1"/>
  <c r="F16" i="49" s="1"/>
  <c r="F5" i="50"/>
  <c r="F8" i="50" s="1"/>
  <c r="F3" i="35" l="1"/>
  <c r="F6" i="35" s="1"/>
  <c r="E4" i="34"/>
  <c r="E6" i="34" s="1"/>
  <c r="G5" i="50"/>
  <c r="G8" i="50" s="1"/>
  <c r="G5" i="32"/>
  <c r="F8" i="32"/>
  <c r="G5" i="49"/>
  <c r="G8" i="49" s="1"/>
  <c r="G16" i="49" s="1"/>
  <c r="D5" i="26"/>
  <c r="H5" i="50" l="1"/>
  <c r="H8" i="50" s="1"/>
  <c r="H5" i="49"/>
  <c r="H8" i="49" s="1"/>
  <c r="H16" i="49" s="1"/>
  <c r="G8" i="32"/>
  <c r="F4" i="34"/>
  <c r="F6" i="34" s="1"/>
  <c r="G3" i="35"/>
  <c r="G6" i="35" s="1"/>
  <c r="H17" i="22"/>
  <c r="H19" i="22" s="1"/>
  <c r="G4" i="34" l="1"/>
  <c r="H3" i="35"/>
  <c r="H6" i="35" s="1"/>
  <c r="G6" i="20"/>
  <c r="C7" i="45" l="1"/>
  <c r="C15" i="45" s="1"/>
  <c r="C27" i="50"/>
  <c r="H24" i="49"/>
  <c r="H27" i="50"/>
  <c r="C24" i="49"/>
  <c r="C25" i="49" s="1"/>
  <c r="G6" i="34"/>
  <c r="I6" i="34"/>
  <c r="G7" i="20"/>
  <c r="C7" i="31" s="1"/>
  <c r="C20" i="35"/>
  <c r="D4" i="39" l="1"/>
  <c r="C6" i="52"/>
  <c r="L5" i="49"/>
  <c r="C6" i="31"/>
  <c r="C5" i="31"/>
  <c r="C22" i="35"/>
  <c r="C4" i="36" s="1"/>
  <c r="H21" i="35"/>
  <c r="E11" i="45"/>
  <c r="E12" i="45" s="1"/>
  <c r="C8" i="46" s="1"/>
  <c r="C17" i="52" l="1"/>
  <c r="E17" i="52" s="1"/>
  <c r="F17" i="52" s="1"/>
  <c r="E6" i="52"/>
  <c r="F6" i="52" s="1"/>
  <c r="C25" i="50"/>
  <c r="C28" i="50" s="1"/>
  <c r="K5" i="47"/>
  <c r="G5" i="47"/>
  <c r="C22" i="46"/>
  <c r="B22" i="46"/>
  <c r="C25" i="46"/>
  <c r="C7" i="46"/>
  <c r="B23" i="46"/>
  <c r="G6" i="47"/>
  <c r="K9" i="47" s="1"/>
  <c r="C23" i="46"/>
  <c r="I4" i="39"/>
  <c r="J4" i="39" s="1"/>
  <c r="C15" i="36"/>
  <c r="C8" i="31"/>
  <c r="G5" i="31"/>
  <c r="H5" i="31" s="1"/>
  <c r="E7" i="45"/>
  <c r="E8" i="45" s="1"/>
  <c r="E15" i="45" s="1"/>
  <c r="E4" i="36"/>
  <c r="F4" i="36" s="1"/>
  <c r="D12" i="39"/>
  <c r="I13" i="31"/>
  <c r="C6" i="37" l="1"/>
  <c r="L5" i="50"/>
  <c r="N5" i="50" s="1"/>
  <c r="O5" i="50" s="1"/>
  <c r="J5" i="31"/>
  <c r="B24" i="46"/>
  <c r="C24" i="46"/>
  <c r="C9" i="46"/>
  <c r="J8" i="31"/>
  <c r="J6" i="31"/>
  <c r="J7" i="31"/>
  <c r="I8" i="31"/>
  <c r="F9" i="34" s="1"/>
  <c r="I7" i="31"/>
  <c r="E9" i="34" s="1"/>
  <c r="G7" i="47"/>
  <c r="K6" i="47" s="1"/>
  <c r="H9" i="47" s="1"/>
  <c r="K10" i="47" s="1"/>
  <c r="H5" i="47"/>
  <c r="J9" i="31"/>
  <c r="I5" i="31"/>
  <c r="C10" i="33" s="1"/>
  <c r="C13" i="33" s="1"/>
  <c r="I6" i="31"/>
  <c r="D9" i="34" s="1"/>
  <c r="I9" i="31"/>
  <c r="G9" i="34" s="1"/>
  <c r="H6" i="47"/>
  <c r="D17" i="35"/>
  <c r="C17" i="37"/>
  <c r="E17" i="37" s="1"/>
  <c r="F17" i="37" s="1"/>
  <c r="H9" i="31"/>
  <c r="H8" i="31"/>
  <c r="H7" i="31"/>
  <c r="H6" i="31"/>
  <c r="E10" i="34" l="1"/>
  <c r="F14" i="50"/>
  <c r="F16" i="50" s="1"/>
  <c r="F17" i="50" s="1"/>
  <c r="D7" i="46"/>
  <c r="D26" i="50"/>
  <c r="K5" i="31"/>
  <c r="G6" i="31" s="1"/>
  <c r="K6" i="31" s="1"/>
  <c r="E7" i="46" s="1"/>
  <c r="H17" i="35"/>
  <c r="H26" i="50"/>
  <c r="G9" i="35"/>
  <c r="G10" i="35" s="1"/>
  <c r="G14" i="50"/>
  <c r="G16" i="50" s="1"/>
  <c r="G17" i="50" s="1"/>
  <c r="G17" i="35"/>
  <c r="G26" i="50"/>
  <c r="G10" i="34"/>
  <c r="H14" i="50"/>
  <c r="H16" i="50" s="1"/>
  <c r="H17" i="50" s="1"/>
  <c r="F17" i="35"/>
  <c r="F26" i="50"/>
  <c r="D10" i="34"/>
  <c r="D11" i="34" s="1"/>
  <c r="E18" i="50" s="1"/>
  <c r="E14" i="50"/>
  <c r="E16" i="50" s="1"/>
  <c r="E17" i="50" s="1"/>
  <c r="E17" i="35"/>
  <c r="E26" i="50"/>
  <c r="E11" i="35"/>
  <c r="B25" i="46"/>
  <c r="D12" i="36"/>
  <c r="D19" i="36" s="1"/>
  <c r="H9" i="35"/>
  <c r="H10" i="35" s="1"/>
  <c r="H7" i="47"/>
  <c r="H8" i="47" s="1"/>
  <c r="E2" i="49" s="1"/>
  <c r="F10" i="34"/>
  <c r="F11" i="34" s="1"/>
  <c r="F9" i="35"/>
  <c r="F10" i="35" s="1"/>
  <c r="E9" i="35"/>
  <c r="E10" i="35" s="1"/>
  <c r="I10" i="31"/>
  <c r="C9" i="34"/>
  <c r="C36" i="33"/>
  <c r="C39" i="33" s="1"/>
  <c r="C11" i="46"/>
  <c r="C12" i="46"/>
  <c r="G7" i="31"/>
  <c r="K7" i="31" s="1"/>
  <c r="F7" i="46" s="1"/>
  <c r="D12" i="34"/>
  <c r="D13" i="34" s="1"/>
  <c r="G11" i="34"/>
  <c r="E11" i="34"/>
  <c r="C10" i="34" l="1"/>
  <c r="D14" i="50"/>
  <c r="D16" i="50" s="1"/>
  <c r="D17" i="50" s="1"/>
  <c r="D3" i="37"/>
  <c r="M10" i="49"/>
  <c r="M6" i="49"/>
  <c r="M8" i="49"/>
  <c r="M5" i="49"/>
  <c r="N5" i="49" s="1"/>
  <c r="O5" i="49" s="1"/>
  <c r="M9" i="49"/>
  <c r="M7" i="49"/>
  <c r="E17" i="49"/>
  <c r="E12" i="35"/>
  <c r="G11" i="35"/>
  <c r="G12" i="35" s="1"/>
  <c r="G18" i="50"/>
  <c r="G17" i="49"/>
  <c r="F11" i="35"/>
  <c r="F12" i="35" s="1"/>
  <c r="F17" i="49"/>
  <c r="F18" i="50"/>
  <c r="H11" i="35"/>
  <c r="H12" i="35" s="1"/>
  <c r="H18" i="50"/>
  <c r="H17" i="49"/>
  <c r="E13" i="35"/>
  <c r="E19" i="50"/>
  <c r="E20" i="50" s="1"/>
  <c r="E21" i="50" s="1"/>
  <c r="E18" i="49"/>
  <c r="E19" i="49" s="1"/>
  <c r="E20" i="49" s="1"/>
  <c r="E25" i="49" s="1"/>
  <c r="D15" i="36"/>
  <c r="E15" i="36" s="1"/>
  <c r="F15" i="36" s="1"/>
  <c r="D18" i="36"/>
  <c r="D17" i="36"/>
  <c r="D20" i="36"/>
  <c r="D16" i="36"/>
  <c r="C75" i="33"/>
  <c r="D9" i="35"/>
  <c r="D10" i="35" s="1"/>
  <c r="G8" i="31"/>
  <c r="K8" i="31" s="1"/>
  <c r="G7" i="46" s="1"/>
  <c r="D14" i="34"/>
  <c r="G12" i="34"/>
  <c r="G13" i="34" s="1"/>
  <c r="F12" i="34"/>
  <c r="F13" i="34" s="1"/>
  <c r="E12" i="34"/>
  <c r="E13" i="34" s="1"/>
  <c r="C11" i="34"/>
  <c r="D6" i="37" l="1"/>
  <c r="E6" i="37" s="1"/>
  <c r="F6" i="37" s="1"/>
  <c r="C27" i="37"/>
  <c r="D27" i="37" s="1"/>
  <c r="D8" i="37"/>
  <c r="D9" i="37"/>
  <c r="D7" i="37"/>
  <c r="D11" i="37"/>
  <c r="D10" i="37"/>
  <c r="E14" i="35"/>
  <c r="E22" i="35" s="1"/>
  <c r="C6" i="36" s="1"/>
  <c r="C17" i="36" s="1"/>
  <c r="E17" i="36" s="1"/>
  <c r="L7" i="49"/>
  <c r="N7" i="49" s="1"/>
  <c r="E6" i="39"/>
  <c r="C8" i="52"/>
  <c r="E28" i="50"/>
  <c r="D11" i="35"/>
  <c r="D18" i="50"/>
  <c r="D17" i="49"/>
  <c r="G13" i="35"/>
  <c r="G14" i="35" s="1"/>
  <c r="G22" i="35" s="1"/>
  <c r="C8" i="36" s="1"/>
  <c r="E8" i="36" s="1"/>
  <c r="G19" i="50"/>
  <c r="G20" i="50" s="1"/>
  <c r="G21" i="50" s="1"/>
  <c r="G18" i="49"/>
  <c r="G19" i="49" s="1"/>
  <c r="G20" i="49" s="1"/>
  <c r="G25" i="49" s="1"/>
  <c r="F13" i="35"/>
  <c r="F14" i="35" s="1"/>
  <c r="F22" i="35" s="1"/>
  <c r="C7" i="36" s="1"/>
  <c r="C18" i="36" s="1"/>
  <c r="E18" i="36" s="1"/>
  <c r="F19" i="50"/>
  <c r="F20" i="50" s="1"/>
  <c r="F21" i="50" s="1"/>
  <c r="F18" i="49"/>
  <c r="F19" i="49" s="1"/>
  <c r="F20" i="49" s="1"/>
  <c r="F25" i="49" s="1"/>
  <c r="H13" i="35"/>
  <c r="H14" i="35" s="1"/>
  <c r="H22" i="35" s="1"/>
  <c r="C9" i="36" s="1"/>
  <c r="H19" i="50"/>
  <c r="H20" i="50" s="1"/>
  <c r="H21" i="50" s="1"/>
  <c r="H18" i="49"/>
  <c r="H19" i="49" s="1"/>
  <c r="H20" i="49" s="1"/>
  <c r="H25" i="49" s="1"/>
  <c r="C78" i="33"/>
  <c r="C11" i="48"/>
  <c r="D12" i="35"/>
  <c r="I6" i="39"/>
  <c r="G9" i="31"/>
  <c r="K9" i="31" s="1"/>
  <c r="H7" i="46" s="1"/>
  <c r="E6" i="36"/>
  <c r="F14" i="34"/>
  <c r="G14" i="34"/>
  <c r="E14" i="34"/>
  <c r="C12" i="34"/>
  <c r="C7" i="38" l="1"/>
  <c r="E7" i="38" s="1"/>
  <c r="C19" i="52"/>
  <c r="E19" i="52" s="1"/>
  <c r="E8" i="52"/>
  <c r="L10" i="49"/>
  <c r="N10" i="49" s="1"/>
  <c r="C11" i="52"/>
  <c r="E9" i="39"/>
  <c r="L9" i="49"/>
  <c r="N9" i="49" s="1"/>
  <c r="C10" i="52"/>
  <c r="E8" i="39"/>
  <c r="L8" i="49"/>
  <c r="N8" i="49" s="1"/>
  <c r="C9" i="52"/>
  <c r="E7" i="39"/>
  <c r="L7" i="50"/>
  <c r="N7" i="50" s="1"/>
  <c r="C8" i="37"/>
  <c r="C19" i="37" s="1"/>
  <c r="E19" i="37" s="1"/>
  <c r="E9" i="36"/>
  <c r="C8" i="38"/>
  <c r="E8" i="38" s="1"/>
  <c r="I7" i="39"/>
  <c r="C20" i="36"/>
  <c r="E20" i="36" s="1"/>
  <c r="I9" i="39"/>
  <c r="J9" i="39" s="1"/>
  <c r="C10" i="38"/>
  <c r="E10" i="38" s="1"/>
  <c r="F28" i="50"/>
  <c r="G28" i="50"/>
  <c r="E7" i="36"/>
  <c r="C19" i="36"/>
  <c r="E19" i="36" s="1"/>
  <c r="H28" i="50"/>
  <c r="C9" i="38"/>
  <c r="E9" i="38" s="1"/>
  <c r="I8" i="39"/>
  <c r="K11" i="48"/>
  <c r="K14" i="48" s="1"/>
  <c r="J11" i="48"/>
  <c r="J14" i="48" s="1"/>
  <c r="N49" i="48" s="1"/>
  <c r="C14" i="48"/>
  <c r="E8" i="37"/>
  <c r="C13" i="34"/>
  <c r="K19" i="48" l="1"/>
  <c r="W49" i="48"/>
  <c r="J19" i="48"/>
  <c r="C21" i="52"/>
  <c r="E21" i="52" s="1"/>
  <c r="E10" i="52"/>
  <c r="C22" i="52"/>
  <c r="E22" i="52" s="1"/>
  <c r="E11" i="52"/>
  <c r="C20" i="52"/>
  <c r="E20" i="52" s="1"/>
  <c r="E9" i="52"/>
  <c r="L10" i="50"/>
  <c r="N10" i="50" s="1"/>
  <c r="C11" i="37"/>
  <c r="C22" i="37" s="1"/>
  <c r="E22" i="37" s="1"/>
  <c r="L9" i="50"/>
  <c r="N9" i="50" s="1"/>
  <c r="C10" i="37"/>
  <c r="E10" i="37" s="1"/>
  <c r="L8" i="50"/>
  <c r="N8" i="50" s="1"/>
  <c r="C9" i="37"/>
  <c r="D13" i="35"/>
  <c r="D14" i="35" s="1"/>
  <c r="D22" i="35" s="1"/>
  <c r="C5" i="36" s="1"/>
  <c r="C16" i="36" s="1"/>
  <c r="E16" i="36" s="1"/>
  <c r="F16" i="36" s="1"/>
  <c r="F17" i="36" s="1"/>
  <c r="F18" i="36" s="1"/>
  <c r="F19" i="36" s="1"/>
  <c r="F20" i="36" s="1"/>
  <c r="D19" i="50"/>
  <c r="D20" i="50" s="1"/>
  <c r="D21" i="50" s="1"/>
  <c r="D18" i="49"/>
  <c r="D19" i="49" s="1"/>
  <c r="D20" i="49" s="1"/>
  <c r="D25" i="49" s="1"/>
  <c r="N52" i="48"/>
  <c r="N55" i="48"/>
  <c r="Q55" i="48" s="1"/>
  <c r="Q49" i="48"/>
  <c r="N54" i="48"/>
  <c r="Q54" i="48" s="1"/>
  <c r="N50" i="48"/>
  <c r="Q50" i="48" s="1"/>
  <c r="N51" i="48"/>
  <c r="Q51" i="48" s="1"/>
  <c r="N53" i="48"/>
  <c r="Q53" i="48" s="1"/>
  <c r="G11" i="36"/>
  <c r="C14" i="34"/>
  <c r="D8" i="46" s="1"/>
  <c r="L52" i="48" l="1"/>
  <c r="C12" i="43"/>
  <c r="W54" i="48"/>
  <c r="Z54" i="48" s="1"/>
  <c r="W55" i="48"/>
  <c r="Z55" i="48" s="1"/>
  <c r="W52" i="48"/>
  <c r="W50" i="48"/>
  <c r="Z50" i="48" s="1"/>
  <c r="W51" i="48"/>
  <c r="Z51" i="48" s="1"/>
  <c r="W53" i="48"/>
  <c r="Z53" i="48" s="1"/>
  <c r="Z49" i="48"/>
  <c r="U52" i="48"/>
  <c r="C13" i="43"/>
  <c r="L6" i="49"/>
  <c r="N6" i="49" s="1"/>
  <c r="O6" i="49" s="1"/>
  <c r="O7" i="49" s="1"/>
  <c r="O8" i="49" s="1"/>
  <c r="O9" i="49" s="1"/>
  <c r="O10" i="49" s="1"/>
  <c r="C3" i="43" s="1"/>
  <c r="E5" i="39"/>
  <c r="C7" i="52"/>
  <c r="E11" i="37"/>
  <c r="C21" i="37"/>
  <c r="E21" i="37" s="1"/>
  <c r="E9" i="37"/>
  <c r="C20" i="37"/>
  <c r="E20" i="37" s="1"/>
  <c r="E5" i="36"/>
  <c r="F5" i="36" s="1"/>
  <c r="F6" i="36" s="1"/>
  <c r="F7" i="36" s="1"/>
  <c r="F8" i="36" s="1"/>
  <c r="F9" i="36" s="1"/>
  <c r="C6" i="38"/>
  <c r="E6" i="38" s="1"/>
  <c r="E11" i="38" s="1"/>
  <c r="E13" i="38" s="1"/>
  <c r="F5" i="39"/>
  <c r="F6" i="39" s="1"/>
  <c r="F7" i="39" s="1"/>
  <c r="D13" i="39" s="1"/>
  <c r="N12" i="49"/>
  <c r="N11" i="49"/>
  <c r="D28" i="50"/>
  <c r="I5" i="39"/>
  <c r="J5" i="39" s="1"/>
  <c r="J6" i="39" s="1"/>
  <c r="J7" i="39" s="1"/>
  <c r="J8" i="39" s="1"/>
  <c r="J11" i="39" s="1"/>
  <c r="E8" i="46"/>
  <c r="D9" i="46"/>
  <c r="V52" i="48" l="1"/>
  <c r="Y52" i="48"/>
  <c r="Z52" i="48" s="1"/>
  <c r="E10" i="36"/>
  <c r="M52" i="48"/>
  <c r="P52" i="48"/>
  <c r="Q52" i="48" s="1"/>
  <c r="C18" i="52"/>
  <c r="C13" i="52"/>
  <c r="C6" i="43" s="1"/>
  <c r="E7" i="52"/>
  <c r="L6" i="50"/>
  <c r="C7" i="37"/>
  <c r="F8" i="39"/>
  <c r="D14" i="39" s="1"/>
  <c r="D15" i="39" s="1"/>
  <c r="N6" i="50"/>
  <c r="O6" i="50" s="1"/>
  <c r="O7" i="50" s="1"/>
  <c r="O8" i="50" s="1"/>
  <c r="O9" i="50" s="1"/>
  <c r="O10" i="50" s="1"/>
  <c r="C4" i="43" s="1"/>
  <c r="N12" i="50"/>
  <c r="N11" i="50"/>
  <c r="J12" i="39"/>
  <c r="D12" i="46"/>
  <c r="D11" i="46"/>
  <c r="F8" i="46"/>
  <c r="E9" i="46"/>
  <c r="E11" i="46" s="1"/>
  <c r="E12" i="52" l="1"/>
  <c r="F7" i="52"/>
  <c r="F8" i="52" s="1"/>
  <c r="F9" i="52" s="1"/>
  <c r="F10" i="52" s="1"/>
  <c r="F11" i="52" s="1"/>
  <c r="E18" i="52"/>
  <c r="C25" i="52"/>
  <c r="C13" i="37"/>
  <c r="C5" i="43" s="1"/>
  <c r="E7" i="37"/>
  <c r="C18" i="37"/>
  <c r="F9" i="39"/>
  <c r="F11" i="39"/>
  <c r="E12" i="46"/>
  <c r="D20" i="46" s="1"/>
  <c r="C20" i="46"/>
  <c r="C18" i="46"/>
  <c r="C19" i="46" s="1"/>
  <c r="D18" i="46"/>
  <c r="D19" i="46" s="1"/>
  <c r="G8" i="46"/>
  <c r="F9" i="46"/>
  <c r="F11" i="46" s="1"/>
  <c r="E23" i="52" l="1"/>
  <c r="F18" i="52"/>
  <c r="F19" i="52" s="1"/>
  <c r="F20" i="52" s="1"/>
  <c r="F21" i="52" s="1"/>
  <c r="F22" i="52" s="1"/>
  <c r="E27" i="52"/>
  <c r="D28" i="52" s="1"/>
  <c r="C26" i="52" s="1"/>
  <c r="E18" i="37"/>
  <c r="C25" i="37"/>
  <c r="E12" i="37"/>
  <c r="F7" i="37"/>
  <c r="F8" i="37" s="1"/>
  <c r="F9" i="37" s="1"/>
  <c r="F10" i="37" s="1"/>
  <c r="F11" i="37" s="1"/>
  <c r="F12" i="46"/>
  <c r="E20" i="46" s="1"/>
  <c r="H8" i="46"/>
  <c r="G9" i="46"/>
  <c r="G11" i="46" s="1"/>
  <c r="H15" i="25"/>
  <c r="H14" i="25"/>
  <c r="F4" i="48" s="1"/>
  <c r="H17" i="25"/>
  <c r="I4" i="48" s="1"/>
  <c r="H16" i="25"/>
  <c r="H4" i="48" s="1"/>
  <c r="F13" i="48" l="1"/>
  <c r="F9" i="48"/>
  <c r="F12" i="48"/>
  <c r="F6" i="48"/>
  <c r="F8" i="48"/>
  <c r="F5" i="48"/>
  <c r="F10" i="48"/>
  <c r="F11" i="48"/>
  <c r="F14" i="48" s="1"/>
  <c r="G4" i="48"/>
  <c r="H13" i="25"/>
  <c r="H13" i="48"/>
  <c r="H9" i="48"/>
  <c r="H12" i="48"/>
  <c r="H6" i="48"/>
  <c r="H8" i="48"/>
  <c r="H5" i="48"/>
  <c r="H7" i="48" s="1"/>
  <c r="H16" i="48" s="1"/>
  <c r="AN23" i="48" s="1"/>
  <c r="H10" i="48"/>
  <c r="H11" i="48"/>
  <c r="I10" i="48"/>
  <c r="I13" i="48"/>
  <c r="I9" i="48"/>
  <c r="I12" i="48"/>
  <c r="I6" i="48"/>
  <c r="I8" i="48"/>
  <c r="I5" i="48"/>
  <c r="I11" i="48"/>
  <c r="E23" i="37"/>
  <c r="E27" i="37" s="1"/>
  <c r="D28" i="37" s="1"/>
  <c r="C26" i="37" s="1"/>
  <c r="F18" i="37"/>
  <c r="F19" i="37" s="1"/>
  <c r="F20" i="37" s="1"/>
  <c r="F21" i="37" s="1"/>
  <c r="F22" i="37" s="1"/>
  <c r="H9" i="46"/>
  <c r="H11" i="46" s="1"/>
  <c r="G12" i="46"/>
  <c r="F20" i="46" s="1"/>
  <c r="E18" i="46"/>
  <c r="E19" i="46" s="1"/>
  <c r="AN24" i="48" l="1"/>
  <c r="AN28" i="48"/>
  <c r="AO28" i="48" s="1"/>
  <c r="AO23" i="48"/>
  <c r="AN29" i="48"/>
  <c r="AO29" i="48" s="1"/>
  <c r="AN27" i="48"/>
  <c r="AO27" i="48" s="1"/>
  <c r="AN26" i="48"/>
  <c r="I14" i="48"/>
  <c r="H14" i="48"/>
  <c r="H20" i="25"/>
  <c r="E4" i="48"/>
  <c r="F7" i="48"/>
  <c r="F16" i="48" s="1"/>
  <c r="X23" i="48" s="1"/>
  <c r="W23" i="48"/>
  <c r="I7" i="48"/>
  <c r="I16" i="48" s="1"/>
  <c r="AV23" i="48" s="1"/>
  <c r="G13" i="48"/>
  <c r="G9" i="48"/>
  <c r="G12" i="48"/>
  <c r="G6" i="48"/>
  <c r="G8" i="48"/>
  <c r="G10" i="48"/>
  <c r="G5" i="48"/>
  <c r="G11" i="48"/>
  <c r="F18" i="46"/>
  <c r="F19" i="46" s="1"/>
  <c r="H12" i="46"/>
  <c r="G20" i="46" s="1"/>
  <c r="I19" i="48" l="1"/>
  <c r="AU23" i="48"/>
  <c r="G14" i="48"/>
  <c r="AV26" i="48"/>
  <c r="AV28" i="48"/>
  <c r="AW28" i="48" s="1"/>
  <c r="AV27" i="48"/>
  <c r="AW27" i="48" s="1"/>
  <c r="AW23" i="48"/>
  <c r="AV29" i="48"/>
  <c r="AW29" i="48" s="1"/>
  <c r="AV24" i="48"/>
  <c r="E10" i="48"/>
  <c r="E13" i="48"/>
  <c r="E9" i="48"/>
  <c r="E12" i="48"/>
  <c r="E6" i="48"/>
  <c r="E8" i="48"/>
  <c r="E5" i="48"/>
  <c r="E7" i="48" s="1"/>
  <c r="E16" i="48" s="1"/>
  <c r="P23" i="48" s="1"/>
  <c r="E11" i="48"/>
  <c r="W24" i="48"/>
  <c r="W25" i="48"/>
  <c r="W29" i="48"/>
  <c r="W27" i="48"/>
  <c r="W28" i="48"/>
  <c r="W26" i="48"/>
  <c r="AM23" i="48"/>
  <c r="H19" i="48"/>
  <c r="X24" i="48"/>
  <c r="Y23" i="48"/>
  <c r="Z23" i="48" s="1"/>
  <c r="X29" i="48"/>
  <c r="Y29" i="48" s="1"/>
  <c r="X27" i="48"/>
  <c r="Y27" i="48" s="1"/>
  <c r="X28" i="48"/>
  <c r="Y28" i="48" s="1"/>
  <c r="X26" i="48"/>
  <c r="G7" i="48"/>
  <c r="G16" i="48" s="1"/>
  <c r="AF23" i="48" s="1"/>
  <c r="F19" i="48"/>
  <c r="AO24" i="48"/>
  <c r="AN25" i="48"/>
  <c r="AO25" i="48" s="1"/>
  <c r="G18" i="46"/>
  <c r="G19" i="46" s="1"/>
  <c r="Z29" i="48" l="1"/>
  <c r="G19" i="48"/>
  <c r="AE23" i="48"/>
  <c r="P29" i="48"/>
  <c r="Q29" i="48" s="1"/>
  <c r="P28" i="48"/>
  <c r="Q28" i="48" s="1"/>
  <c r="P24" i="48"/>
  <c r="P27" i="48"/>
  <c r="Q27" i="48" s="1"/>
  <c r="P26" i="48"/>
  <c r="Q23" i="48"/>
  <c r="X25" i="48"/>
  <c r="Y25" i="48" s="1"/>
  <c r="Z25" i="48" s="1"/>
  <c r="Y24" i="48"/>
  <c r="U26" i="48"/>
  <c r="V26" i="48" s="1"/>
  <c r="C8" i="43"/>
  <c r="AK26" i="48"/>
  <c r="C10" i="43"/>
  <c r="Z28" i="48"/>
  <c r="Z24" i="48"/>
  <c r="AU28" i="48"/>
  <c r="AX28" i="48" s="1"/>
  <c r="AU27" i="48"/>
  <c r="AX27" i="48" s="1"/>
  <c r="AU25" i="48"/>
  <c r="AU29" i="48"/>
  <c r="AX29" i="48" s="1"/>
  <c r="AX23" i="48"/>
  <c r="AU24" i="48"/>
  <c r="AU26" i="48"/>
  <c r="AF24" i="48"/>
  <c r="AG23" i="48"/>
  <c r="AF27" i="48"/>
  <c r="AG27" i="48" s="1"/>
  <c r="AF29" i="48"/>
  <c r="AG29" i="48" s="1"/>
  <c r="AF28" i="48"/>
  <c r="AG28" i="48" s="1"/>
  <c r="AF26" i="48"/>
  <c r="AM29" i="48"/>
  <c r="AP29" i="48" s="1"/>
  <c r="AM26" i="48"/>
  <c r="AM25" i="48"/>
  <c r="AP25" i="48" s="1"/>
  <c r="AM28" i="48"/>
  <c r="AP28" i="48" s="1"/>
  <c r="AM27" i="48"/>
  <c r="AP27" i="48" s="1"/>
  <c r="AP23" i="48"/>
  <c r="AM24" i="48"/>
  <c r="AP24" i="48" s="1"/>
  <c r="Z27" i="48"/>
  <c r="E14" i="48"/>
  <c r="AV25" i="48"/>
  <c r="AW25" i="48" s="1"/>
  <c r="AW24" i="48"/>
  <c r="AS26" i="48"/>
  <c r="C11" i="43"/>
  <c r="AT26" i="48" l="1"/>
  <c r="AW26" i="48"/>
  <c r="P25" i="48"/>
  <c r="Q25" i="48" s="1"/>
  <c r="Q24" i="48"/>
  <c r="AX26" i="48"/>
  <c r="AX25" i="48"/>
  <c r="AC26" i="48"/>
  <c r="AD26" i="48" s="1"/>
  <c r="C9" i="43"/>
  <c r="AF25" i="48"/>
  <c r="AG25" i="48" s="1"/>
  <c r="AG24" i="48"/>
  <c r="AE28" i="48"/>
  <c r="AH28" i="48" s="1"/>
  <c r="AE29" i="48"/>
  <c r="AH29" i="48" s="1"/>
  <c r="AE25" i="48"/>
  <c r="AE27" i="48"/>
  <c r="AH27" i="48" s="1"/>
  <c r="AE24" i="48"/>
  <c r="AH23" i="48"/>
  <c r="AE26" i="48"/>
  <c r="E19" i="48"/>
  <c r="O23" i="48"/>
  <c r="AX24" i="48"/>
  <c r="AG26" i="48"/>
  <c r="AL26" i="48"/>
  <c r="AO26" i="48"/>
  <c r="AP26" i="48" s="1"/>
  <c r="Y26" i="48"/>
  <c r="Z26" i="48" s="1"/>
  <c r="AH26" i="48" l="1"/>
  <c r="AH25" i="48"/>
  <c r="O27" i="48"/>
  <c r="R27" i="48" s="1"/>
  <c r="O26" i="48"/>
  <c r="R23" i="48"/>
  <c r="O29" i="48"/>
  <c r="R29" i="48" s="1"/>
  <c r="O24" i="48"/>
  <c r="R24" i="48" s="1"/>
  <c r="O28" i="48"/>
  <c r="R28" i="48" s="1"/>
  <c r="O25" i="48"/>
  <c r="R25" i="48" s="1"/>
  <c r="AH24" i="48"/>
  <c r="M26" i="48"/>
  <c r="C7" i="43"/>
  <c r="N26" i="48" l="1"/>
  <c r="Q26" i="48"/>
  <c r="R26" i="48" s="1"/>
</calcChain>
</file>

<file path=xl/sharedStrings.xml><?xml version="1.0" encoding="utf-8"?>
<sst xmlns="http://schemas.openxmlformats.org/spreadsheetml/2006/main" count="1325" uniqueCount="595">
  <si>
    <t>INSTITUCIONES DE SALUD</t>
  </si>
  <si>
    <t>Mensual</t>
  </si>
  <si>
    <t>Trimestral</t>
  </si>
  <si>
    <t>Semestral</t>
  </si>
  <si>
    <t xml:space="preserve">Hospital Básico Moderno </t>
  </si>
  <si>
    <t>Clinica Santa Cecilia Riobamba</t>
  </si>
  <si>
    <t xml:space="preserve">Hospital del Día Panamericana  </t>
  </si>
  <si>
    <t xml:space="preserve">Clinica San Sebastian </t>
  </si>
  <si>
    <t>Centro Clinico Quirurgico Fibuspam</t>
  </si>
  <si>
    <t xml:space="preserve">Hospital del Día Vida Nueva </t>
  </si>
  <si>
    <t>Fundación Social Alemana Ecuatoriana</t>
  </si>
  <si>
    <t xml:space="preserve">Metrisa Metropolitana Riobamba Clinica Metropolitana </t>
  </si>
  <si>
    <t xml:space="preserve">Clinica San Antonio </t>
  </si>
  <si>
    <t xml:space="preserve">Hospital de Especialidades San Juan </t>
  </si>
  <si>
    <t>Hospital Basico Instituto de Ginecologia y Osteoporosis</t>
  </si>
  <si>
    <t xml:space="preserve">Unidad Ocologica Solca de Chimborazo </t>
  </si>
  <si>
    <t xml:space="preserve">NOVA Clinica San Marcos Nova Clima </t>
  </si>
  <si>
    <t xml:space="preserve">Medicos y Asociados ClinChimborazo </t>
  </si>
  <si>
    <t xml:space="preserve">Consultorio de Neumología y Terapia Intensiva </t>
  </si>
  <si>
    <t xml:space="preserve">Clinica Riobamba </t>
  </si>
  <si>
    <t>Servicios Médicos Pazmiño y Mendez</t>
  </si>
  <si>
    <t>Hospital del día la Dolorosa</t>
  </si>
  <si>
    <t>Clínica CIROI</t>
  </si>
  <si>
    <t>Centro de Especialidades COI</t>
  </si>
  <si>
    <t>Centro Médico el Angel</t>
  </si>
  <si>
    <t>Hospital del día Jerusalen</t>
  </si>
  <si>
    <t>TOTAL</t>
  </si>
  <si>
    <t>10. Qué cantidad de gases medicinales compra al mes? Seleccione con una X las alternativas necesarias.</t>
  </si>
  <si>
    <t xml:space="preserve">Casa de Salud </t>
  </si>
  <si>
    <t>O</t>
  </si>
  <si>
    <t>CO2</t>
  </si>
  <si>
    <t>N</t>
  </si>
  <si>
    <t>NO</t>
  </si>
  <si>
    <t>AIRE</t>
  </si>
  <si>
    <t>otro</t>
  </si>
  <si>
    <t>Iess Ambulatorio Parque Industrial</t>
  </si>
  <si>
    <t>Centro de Salud Tipo B de la Policía Nacional</t>
  </si>
  <si>
    <t>Hospital Básico Vida Sana</t>
  </si>
  <si>
    <t>Hopsital Básico San Gabriel</t>
  </si>
  <si>
    <t>Hospital Básico 11 BCB Galápagos</t>
  </si>
  <si>
    <t>Hospital Provincial Docente Riobamba</t>
  </si>
  <si>
    <t xml:space="preserve">MARQUE CON UNA X SOBRE EL CASILLERO CORRESPONDIENTA </t>
  </si>
  <si>
    <t>SEXO</t>
  </si>
  <si>
    <t>F</t>
  </si>
  <si>
    <t>M</t>
  </si>
  <si>
    <t xml:space="preserve">TOTAL </t>
  </si>
  <si>
    <t xml:space="preserve">si </t>
  </si>
  <si>
    <t>no</t>
  </si>
  <si>
    <t>¿Tiene algún familiar o persona conocida que adolece de alguna enfermedad que requiera la administración de oxigeno medicinal?</t>
  </si>
  <si>
    <t>¿Qué tipo de contenedor utiliza?</t>
  </si>
  <si>
    <t>Cilindro</t>
  </si>
  <si>
    <t>Concentrador</t>
  </si>
  <si>
    <t>CONSUMO OXIGENO FAMILIAS</t>
  </si>
  <si>
    <t>¿Qué cantidad mensual de Oxígeno requiere?</t>
  </si>
  <si>
    <t>5 m3 / mes</t>
  </si>
  <si>
    <t>10 m3/mes</t>
  </si>
  <si>
    <t>25m3/mes</t>
  </si>
  <si>
    <t>*consumo mensual</t>
  </si>
  <si>
    <t>*consumo semanal</t>
  </si>
  <si>
    <t>*consumo semestral</t>
  </si>
  <si>
    <t>*consumo anual</t>
  </si>
  <si>
    <t>metros cúbicos/año</t>
  </si>
  <si>
    <t>¿Normalmente en dónde adquiere este producto?</t>
  </si>
  <si>
    <t>Hospital Público</t>
  </si>
  <si>
    <t>Hospital  Privado</t>
  </si>
  <si>
    <t>Proveedor local</t>
  </si>
  <si>
    <t>Otros</t>
  </si>
  <si>
    <t>El valor que cancela por metro cúbico de Oxígeno fluctua entre:</t>
  </si>
  <si>
    <t>1-2 USD</t>
  </si>
  <si>
    <t>2-3 USD</t>
  </si>
  <si>
    <t>3-4 USD</t>
  </si>
  <si>
    <t>4-5 USD</t>
  </si>
  <si>
    <t>CONSUMO ENTREGA A DOMICILO</t>
  </si>
  <si>
    <t>¿Estaría de acuerdo que los gases  medicinales que adquiere sean entregados en su  domicilio?</t>
  </si>
  <si>
    <t>Como 67 personas responden que si, la entrega a domicilio serían:</t>
  </si>
  <si>
    <t>veces/año</t>
  </si>
  <si>
    <t>¿Con qué frecuencia  requerirá  el servicio de entrega a domicilio de  oxígeno medicinal?</t>
  </si>
  <si>
    <t>Diaria</t>
  </si>
  <si>
    <t>Semanal</t>
  </si>
  <si>
    <t>¿Cuánto cancelaría por el servicio "home delivery"</t>
  </si>
  <si>
    <t>Ningun Valor</t>
  </si>
  <si>
    <t>Valor de la carrera</t>
  </si>
  <si>
    <t>1-3 UDS Adicionales</t>
  </si>
  <si>
    <t>3-5 USD Adicionales</t>
  </si>
  <si>
    <t>¿Le gustaría que como parte del servicio integral de la empresa coloquen el Oxígeno con todos los insumos necesarios al paciente en su domicilio?</t>
  </si>
  <si>
    <t>CONSUMO INSTALACIÓN FAMILIAS</t>
  </si>
  <si>
    <t>Como 70 personas responden que si</t>
  </si>
  <si>
    <t>¿Con qué frecuencia  requerirá  el servicio de entrega a instalación y colocación de  oxígeno medicinal en casa?</t>
  </si>
  <si>
    <t>¿Cúanto estaría dispuesto a cancelar por el servicio de  colocación de oxígeno?</t>
  </si>
  <si>
    <t>1-5 USD</t>
  </si>
  <si>
    <t>5 -10 USD</t>
  </si>
  <si>
    <t>10-20 USD</t>
  </si>
  <si>
    <t>MÁS DE 20 USD</t>
  </si>
  <si>
    <t>Sema</t>
  </si>
  <si>
    <t>Mens</t>
  </si>
  <si>
    <t>Semea</t>
  </si>
  <si>
    <t>¿Aceptaría que la empresa  vigile en casa (monitoree) profesionalmente al paciente que utiliza Oxígeno?</t>
  </si>
  <si>
    <t>CONSUMO MONITOREO FAMILIAS</t>
  </si>
  <si>
    <t>¿Con qué frecuencia  requerirá  el servicio de monitoreo de pacientes en casa?</t>
  </si>
  <si>
    <t>¿Cúanto estaría dispuesto a cancelar por este servicio?</t>
  </si>
  <si>
    <t>¿ A través de que medio de comunicación le gustaría que nuestra empresa se dé a conocer al público?</t>
  </si>
  <si>
    <t>Televisón</t>
  </si>
  <si>
    <t xml:space="preserve">Prensa </t>
  </si>
  <si>
    <t>Página web</t>
  </si>
  <si>
    <t>Redes sociales</t>
  </si>
  <si>
    <t>ESTIMADO ECONOMISTA:</t>
  </si>
  <si>
    <t xml:space="preserve">De acuerdo a la encuesta se necesitaría por mes: </t>
  </si>
  <si>
    <t>metros cúbicos de Oxígeno</t>
  </si>
  <si>
    <t>Para la instalación de este gas se necesitarían los siguientes insumos:</t>
  </si>
  <si>
    <t>CANTIDAD/ PACIENTE</t>
  </si>
  <si>
    <t>PV ADQUIR</t>
  </si>
  <si>
    <t>PVP</t>
  </si>
  <si>
    <t>Mascarilla Oxigeno Adulto</t>
  </si>
  <si>
    <t>1 UNIDAD</t>
  </si>
  <si>
    <t>Mascarilla Oxigeno Pedíatrica</t>
  </si>
  <si>
    <t>Cánula nasal Adulto</t>
  </si>
  <si>
    <t>Cánula nasal Pediátrica</t>
  </si>
  <si>
    <t>Agua destilada</t>
  </si>
  <si>
    <t>1 GALON</t>
  </si>
  <si>
    <t>Guantes de manejo</t>
  </si>
  <si>
    <t>1 PAR</t>
  </si>
  <si>
    <t>Mascarilla descartable</t>
  </si>
  <si>
    <t>POR PERSONA</t>
  </si>
  <si>
    <t>Como materia prima para este servicio sería:</t>
  </si>
  <si>
    <t>Oxígeno</t>
  </si>
  <si>
    <t>1 METRO CUBICO</t>
  </si>
  <si>
    <t>SOLO EL OXIGENO SE VENDE y el Regulador de Oxígeno y Cilindrp se prestaría una vez que el cliente deje una garantí, sin emmbargo esto implica que como inversión debamos tener en la empresa al menos unos 40 REGULADORES</t>
  </si>
  <si>
    <t>Regulador de Oxígeno con Humidificador</t>
  </si>
  <si>
    <t>Cilindro de Ox</t>
  </si>
  <si>
    <t>PRESTA EL PROVEEDOR</t>
  </si>
  <si>
    <t>Para el monitoreo de pacientes</t>
  </si>
  <si>
    <t>Etetoscopio Littmann Lightweight</t>
  </si>
  <si>
    <t>por profesional</t>
  </si>
  <si>
    <t>Tensiómetro Microlife digital</t>
  </si>
  <si>
    <t>Pulsiometro más medidor de glucosa</t>
  </si>
  <si>
    <t>Termómetro Microlife digital</t>
  </si>
  <si>
    <t>Botiquin equipado de primeros auxilios tipo mochila</t>
  </si>
  <si>
    <t>soporte para historias clínicas de metal</t>
  </si>
  <si>
    <t>Ox</t>
  </si>
  <si>
    <t>OX.N</t>
  </si>
  <si>
    <t>INSTITUCION DE SALUD</t>
  </si>
  <si>
    <t>MENSUAL</t>
  </si>
  <si>
    <t>FRECUENCIA</t>
  </si>
  <si>
    <t>Consumo semanal</t>
  </si>
  <si>
    <t>Consumo semana/año</t>
  </si>
  <si>
    <t>Consumo mensual</t>
  </si>
  <si>
    <t>Consumo mensual/año</t>
  </si>
  <si>
    <t>Consumo semestral</t>
  </si>
  <si>
    <t>Consumo semestral/año</t>
  </si>
  <si>
    <t>Total Anual</t>
  </si>
  <si>
    <t>Hogares Óxigeno m3</t>
  </si>
  <si>
    <t xml:space="preserve">FRACCIÓN DE MERCADO Hogares (O2) m3  </t>
  </si>
  <si>
    <t>Mercado Gobal</t>
  </si>
  <si>
    <t>Volumen de Ventas</t>
  </si>
  <si>
    <t>Fracción del Mercado (%)</t>
  </si>
  <si>
    <t>crecimiento poblacio</t>
  </si>
  <si>
    <t>Aceptación</t>
  </si>
  <si>
    <t>Frecuencia mensual</t>
  </si>
  <si>
    <t>Frecuencia trimestral</t>
  </si>
  <si>
    <t>Frecuencia semestral</t>
  </si>
  <si>
    <t>Relativa</t>
  </si>
  <si>
    <t xml:space="preserve">Hospitales/Clinicas </t>
  </si>
  <si>
    <t xml:space="preserve">Privadas Gases medicinales </t>
  </si>
  <si>
    <t>ÓXIGENO  (O2)m3</t>
  </si>
  <si>
    <t>Consumo trimestral</t>
  </si>
  <si>
    <t>Consumo trimestral/año</t>
  </si>
  <si>
    <t>Mercado global</t>
  </si>
  <si>
    <t>DIÓXIDO DE CARBONO (CO2) m3</t>
  </si>
  <si>
    <t>NITRÓGENO (N2) m3</t>
  </si>
  <si>
    <t>ÓXIDO NITROSO (N2O) m3</t>
  </si>
  <si>
    <t xml:space="preserve"> Aire m3</t>
  </si>
  <si>
    <t>Tabla de frecuencia: Demanda</t>
  </si>
  <si>
    <t>Veces</t>
  </si>
  <si>
    <t>Frecuencia semanal</t>
  </si>
  <si>
    <t>Absoluta</t>
  </si>
  <si>
    <t>Hogares</t>
  </si>
  <si>
    <t xml:space="preserve">Administración O2:39 </t>
  </si>
  <si>
    <t>Frecuencia semana/año</t>
  </si>
  <si>
    <t>Frecuencia mensual/año</t>
  </si>
  <si>
    <t>Frecuencia semestral/año</t>
  </si>
  <si>
    <t>Total</t>
  </si>
  <si>
    <t>Administración O2: 39</t>
  </si>
  <si>
    <t>Monitoreo O2: 39</t>
  </si>
  <si>
    <t xml:space="preserve">FRACCIÓN DE MERCADO   (O2)m3 </t>
  </si>
  <si>
    <t xml:space="preserve"> AÑO1</t>
  </si>
  <si>
    <t>AÑO 2</t>
  </si>
  <si>
    <t>AÑO 3</t>
  </si>
  <si>
    <t>AÑO 4</t>
  </si>
  <si>
    <t>AÑO 5</t>
  </si>
  <si>
    <t xml:space="preserve">FRACCIÓN TOTAL DE GASES </t>
  </si>
  <si>
    <t>Mercado Goblal</t>
  </si>
  <si>
    <t>FRACCIÓN DE MERCADO (CO2) m3</t>
  </si>
  <si>
    <t>FRACCIÓN DE MER DE SERVICIO GASES MED AD</t>
  </si>
  <si>
    <t>DEMANDA PROYECTADA SERVICIO HOGARES</t>
  </si>
  <si>
    <t>VECES</t>
  </si>
  <si>
    <t>Año</t>
  </si>
  <si>
    <t>Demanda</t>
  </si>
  <si>
    <t>FRACCIÓN DE MERCADO (N2) m3</t>
  </si>
  <si>
    <t>FRACCIÓN DE MER DE SERVICIO GASES MED MON</t>
  </si>
  <si>
    <t>FRACCIÓN DE MERCADO (N2O) m3</t>
  </si>
  <si>
    <t>FRACCIÓN DE MERCADO  Aire</t>
  </si>
  <si>
    <t>EQUIPOS</t>
  </si>
  <si>
    <t>ÍTEM</t>
  </si>
  <si>
    <t>CANTIDAD</t>
  </si>
  <si>
    <t>Camión</t>
  </si>
  <si>
    <t>Uña Hidráulica Manual</t>
  </si>
  <si>
    <t>Volteador de tanquesº</t>
  </si>
  <si>
    <t>MATERIALES / mes</t>
  </si>
  <si>
    <t>Oxigeno (m)</t>
  </si>
  <si>
    <t>Dióxido de Carbono (kg)</t>
  </si>
  <si>
    <t>Nitrógeno</t>
  </si>
  <si>
    <t>Óxido Nitroso (kg)</t>
  </si>
  <si>
    <t>Aire Medicinal (m)</t>
  </si>
  <si>
    <t>SUMINISTROS / mes</t>
  </si>
  <si>
    <t>Resmas de papel (500 hojas)</t>
  </si>
  <si>
    <t>Esferos (caja x 24 unidades)</t>
  </si>
  <si>
    <t>Carpetas bene</t>
  </si>
  <si>
    <t xml:space="preserve">KIT de Tinta de impresoras (4 colores) </t>
  </si>
  <si>
    <t>Limpiador multiuso baños / pisos</t>
  </si>
  <si>
    <t>Detergente / caneca</t>
  </si>
  <si>
    <t>Cloro / Galón</t>
  </si>
  <si>
    <t>Toallas de papel dispensador</t>
  </si>
  <si>
    <t>Papel higiénico industrial</t>
  </si>
  <si>
    <t>Antibacterial / caneca</t>
  </si>
  <si>
    <t xml:space="preserve">CAPACIDAD MENSUAL DE LA PLANTA </t>
  </si>
  <si>
    <t xml:space="preserve"> METROS CUBICOS</t>
  </si>
  <si>
    <t>PORCENTAJE</t>
  </si>
  <si>
    <t xml:space="preserve">Capacidad Oxígeno Medicinal </t>
  </si>
  <si>
    <t xml:space="preserve">Capacidad Dióxido de Carbono </t>
  </si>
  <si>
    <t xml:space="preserve">Capacidad Óxido Nitroso </t>
  </si>
  <si>
    <t xml:space="preserve">Capacidad Óxido Nitrógeno </t>
  </si>
  <si>
    <t xml:space="preserve">Capacidad Aire Mdedicinal </t>
  </si>
  <si>
    <t>Capacidad Oxígeno Medicinal O2</t>
  </si>
  <si>
    <t>Capacidad Aire Mdedicinal</t>
  </si>
  <si>
    <t>Capacidad Dióxido de Crabono CO2</t>
  </si>
  <si>
    <t>Capacidad Óxido Nitroso (NO)</t>
  </si>
  <si>
    <t>Capacidad Óxido Nitrógeno</t>
  </si>
  <si>
    <t>PERSONAL ADMINISTRATIVO</t>
  </si>
  <si>
    <t>Horas de trabajo</t>
  </si>
  <si>
    <t>Cantidad</t>
  </si>
  <si>
    <t>PERSONAL OPERATIVO</t>
  </si>
  <si>
    <t>Administrador</t>
  </si>
  <si>
    <t>Bodeguero/ Despachador</t>
  </si>
  <si>
    <t>Contadora/ Secretaria</t>
  </si>
  <si>
    <t>Conductor</t>
  </si>
  <si>
    <t>Vendedor/Capacitador</t>
  </si>
  <si>
    <t>Auxiliar de Enfermeria</t>
  </si>
  <si>
    <t>Inversión Edificaciones</t>
  </si>
  <si>
    <t>ITEM</t>
  </si>
  <si>
    <t>CANTIDAD m2</t>
  </si>
  <si>
    <t>PRECIO UNITARIO</t>
  </si>
  <si>
    <t>PRECIO TOTAL</t>
  </si>
  <si>
    <t>Administración</t>
  </si>
  <si>
    <t>Servicios Higiénicos</t>
  </si>
  <si>
    <t>Sala de Negocios</t>
  </si>
  <si>
    <t>Vestidores</t>
  </si>
  <si>
    <t>Recepción de productos</t>
  </si>
  <si>
    <t>Almacenamiento</t>
  </si>
  <si>
    <t>Pasillos</t>
  </si>
  <si>
    <t>Bodega</t>
  </si>
  <si>
    <t>INVERSIÓN ACTIVOS FIJOS</t>
  </si>
  <si>
    <t>VALOR TOTAL</t>
  </si>
  <si>
    <t>RUBROS DE INVERSIÓN</t>
  </si>
  <si>
    <t>VALOR DÓLARES</t>
  </si>
  <si>
    <t>Edificaciones</t>
  </si>
  <si>
    <t>Activos fijos</t>
  </si>
  <si>
    <t>Gerencia, secretaria, contadora</t>
  </si>
  <si>
    <t>Activos diferidos</t>
  </si>
  <si>
    <t>Capital de trabajo (2 meses)</t>
  </si>
  <si>
    <t xml:space="preserve">Vestidores </t>
  </si>
  <si>
    <t>Recepción</t>
  </si>
  <si>
    <t>Camión para la distribución de gases (usado)</t>
  </si>
  <si>
    <t>TOTAL ACTIVOS</t>
  </si>
  <si>
    <t>Teléfono motorola</t>
  </si>
  <si>
    <t>http://articulo.mercadolibre.com.ec/MEC-411495978-motorola-telefono-inalambrico-fox500-dect-60-funcion-flash-_JM</t>
  </si>
  <si>
    <t xml:space="preserve">Teléfono inhalambico </t>
  </si>
  <si>
    <t>http://articulo.mercadolibre.com.ec/MEC-411171429-panasonic-sc-telefono-inalambrico-doble-contestador-ident-_JM</t>
  </si>
  <si>
    <t>Escritorio Operativo 1.50m X 0.60 Con Cajonera Para Oficina</t>
  </si>
  <si>
    <t>Computador portátil HP corie 5</t>
  </si>
  <si>
    <t>Regulador de voltaje</t>
  </si>
  <si>
    <t>Cortinas persianas</t>
  </si>
  <si>
    <t>Sillón de cuerina</t>
  </si>
  <si>
    <t>Sillas escritorio</t>
  </si>
  <si>
    <t>Silla ejecutiva</t>
  </si>
  <si>
    <t>Cuadro decorativo/ piezas</t>
  </si>
  <si>
    <t>Impresora multifuncional EPSON</t>
  </si>
  <si>
    <t>Archivador de documentos</t>
  </si>
  <si>
    <t>Tacho de basura</t>
  </si>
  <si>
    <t xml:space="preserve"> Servicios Higiénicos</t>
  </si>
  <si>
    <t>Tacho de basura sanitario</t>
  </si>
  <si>
    <t>Espejo 30 x40</t>
  </si>
  <si>
    <t>Dispensador de papel</t>
  </si>
  <si>
    <t>Dispensador de jabón liquido</t>
  </si>
  <si>
    <t>Alfombra ingreso</t>
  </si>
  <si>
    <t>Mesa de juntas</t>
  </si>
  <si>
    <t>Pizarron</t>
  </si>
  <si>
    <t xml:space="preserve"> Vestidores </t>
  </si>
  <si>
    <t>Casilleros</t>
  </si>
  <si>
    <t>Candados</t>
  </si>
  <si>
    <t>Banca larga</t>
  </si>
  <si>
    <t xml:space="preserve">Tacho de basura </t>
  </si>
  <si>
    <t>Cinturón para levantar peso</t>
  </si>
  <si>
    <t>Puntas de acero</t>
  </si>
  <si>
    <t>Guantes de Seguridad</t>
  </si>
  <si>
    <t>Buzo institucional</t>
  </si>
  <si>
    <t>Chaleco fluorescente</t>
  </si>
  <si>
    <t>Espejo 2X1m</t>
  </si>
  <si>
    <t>Casco de protección</t>
  </si>
  <si>
    <t>Pallet adaptado para gases</t>
  </si>
  <si>
    <t>Volteador De Tanques 300 Kg </t>
  </si>
  <si>
    <t>Balanza industrial</t>
  </si>
  <si>
    <t>Pallet adaptados para gases</t>
  </si>
  <si>
    <t>Extintor de PQS</t>
  </si>
  <si>
    <t xml:space="preserve">Luces de emergencia </t>
  </si>
  <si>
    <t>Detector de humo</t>
  </si>
  <si>
    <t xml:space="preserve"> Pasillos</t>
  </si>
  <si>
    <t xml:space="preserve">Dispensador de agua Fría y Caliente </t>
  </si>
  <si>
    <t>BODEGA</t>
  </si>
  <si>
    <t>Depreciaciones - Amortizaciones</t>
  </si>
  <si>
    <t>Expresado en dólares</t>
  </si>
  <si>
    <t>Detalle</t>
  </si>
  <si>
    <t>Valor</t>
  </si>
  <si>
    <t>%</t>
  </si>
  <si>
    <t>Valor residual</t>
  </si>
  <si>
    <t xml:space="preserve">Depreciación Inversión Fija   </t>
  </si>
  <si>
    <t>Equipos</t>
  </si>
  <si>
    <t>Equipo de Computo</t>
  </si>
  <si>
    <t>Muebles/ Enseres de Oficina</t>
  </si>
  <si>
    <t>Vehículo (Camión)</t>
  </si>
  <si>
    <t>Amortización Inversión Intangible</t>
  </si>
  <si>
    <t>Gastos de constitución</t>
  </si>
  <si>
    <t>Permisos</t>
  </si>
  <si>
    <t>Estudios</t>
  </si>
  <si>
    <t>ACTIVOS DIFERIDOS</t>
  </si>
  <si>
    <t>CAPITAL DE TRABAJO</t>
  </si>
  <si>
    <t>SUBTOTAL</t>
  </si>
  <si>
    <t>Insumos</t>
  </si>
  <si>
    <t>Gases Medicinales</t>
  </si>
  <si>
    <t xml:space="preserve">Estudios </t>
  </si>
  <si>
    <t>Administración Oxígeno</t>
  </si>
  <si>
    <t>TOTAL ACTIVOS DIFERID0S</t>
  </si>
  <si>
    <t>Monitoreo Óxigeno</t>
  </si>
  <si>
    <t>Remuneración mano de obra directa</t>
  </si>
  <si>
    <t>SERVICIOS</t>
  </si>
  <si>
    <t>VALOR</t>
  </si>
  <si>
    <t>Gastos administrativos</t>
  </si>
  <si>
    <t>Energía Electrica</t>
  </si>
  <si>
    <t>Remuneración mano de obra indirecta</t>
  </si>
  <si>
    <t xml:space="preserve">Telefono </t>
  </si>
  <si>
    <t>Servicios Basicos</t>
  </si>
  <si>
    <t>Internet</t>
  </si>
  <si>
    <t>Gastos de venta</t>
  </si>
  <si>
    <t>Agua Potable</t>
  </si>
  <si>
    <t>Mantenimiento</t>
  </si>
  <si>
    <t>TOTAL SERVICIOS</t>
  </si>
  <si>
    <t>Publicidad y Marketing</t>
  </si>
  <si>
    <t>Combustible</t>
  </si>
  <si>
    <t>Gastos financieros</t>
  </si>
  <si>
    <t>Interés</t>
  </si>
  <si>
    <t>TOTAL CAPITAL DE TRABAJO</t>
  </si>
  <si>
    <t>RUBROS</t>
  </si>
  <si>
    <t>DIVISIÓN DE LA INVERSIÓN</t>
  </si>
  <si>
    <t>AÑOS</t>
  </si>
  <si>
    <t>DEUDA</t>
  </si>
  <si>
    <t>CUOTA</t>
  </si>
  <si>
    <t>INTERÉS</t>
  </si>
  <si>
    <t>AMORTIZACIÓN</t>
  </si>
  <si>
    <t>SALDO</t>
  </si>
  <si>
    <t>Crédito (60%)</t>
  </si>
  <si>
    <t>Accionistas (40%)</t>
  </si>
  <si>
    <t>Interes Men</t>
  </si>
  <si>
    <t>AÑO 1</t>
  </si>
  <si>
    <t>GAS MEDICINAL</t>
  </si>
  <si>
    <t>CANTIDAD MENSUAL</t>
  </si>
  <si>
    <t>CANTIDAD ANUAL</t>
  </si>
  <si>
    <t>SERVICIO DEADMISTRACIÓN DE GASES MEDICINALES</t>
  </si>
  <si>
    <t>MONITOREO GASES MEDICINALES</t>
  </si>
  <si>
    <t>INGRESOS</t>
  </si>
  <si>
    <t>AÑOS 1</t>
  </si>
  <si>
    <t>Inflación promedio</t>
  </si>
  <si>
    <t>Ingresos gases medicinales</t>
  </si>
  <si>
    <t>Servicio de Administración gases medicinales</t>
  </si>
  <si>
    <t>Servicio de Monitoreo gases medicinales</t>
  </si>
  <si>
    <t>COSTOS FIJOS MENSUALES</t>
  </si>
  <si>
    <t>Mano de Obra indirecta</t>
  </si>
  <si>
    <t>Servicios básicos</t>
  </si>
  <si>
    <t>Mantenimiento maquinaria/equipos</t>
  </si>
  <si>
    <t>Publicidad</t>
  </si>
  <si>
    <t>Depreciación</t>
  </si>
  <si>
    <t>Amortización</t>
  </si>
  <si>
    <t>COSTOS VARIABLES MENSUALES</t>
  </si>
  <si>
    <t>Mano de obra directa</t>
  </si>
  <si>
    <t>Insumos Administración Óxigeno</t>
  </si>
  <si>
    <t>Insumos Monitoreo Óxigeno</t>
  </si>
  <si>
    <t>COSTOS FIJOS ANUALES</t>
  </si>
  <si>
    <t>COSTOS VARIABLES ANUALES</t>
  </si>
  <si>
    <t>COSTOS TOTALES ANUALES</t>
  </si>
  <si>
    <t>CÁLCULO COSTOS  REMUNERACIONES MANO DE OBRA INDIRECTA</t>
  </si>
  <si>
    <t>DENOMINACIÓN DEL PUESTO</t>
  </si>
  <si>
    <t>N°</t>
  </si>
  <si>
    <t>SUELDO</t>
  </si>
  <si>
    <t>DÉCIMO TERCERO</t>
  </si>
  <si>
    <t>DÉCIMO CUARTO</t>
  </si>
  <si>
    <t>APORTE PATRONAL</t>
  </si>
  <si>
    <t>FONDOS RESERVA</t>
  </si>
  <si>
    <t>VACACIONES</t>
  </si>
  <si>
    <t>TOTAL REM. MENSUAL</t>
  </si>
  <si>
    <t>TOTAL REM ANUAL</t>
  </si>
  <si>
    <t>CÁLCULO COSTOS  REMUNERACIONES MANO DE OBRA DIRECTA</t>
  </si>
  <si>
    <t>Bodegero/ Despachador</t>
  </si>
  <si>
    <t>COSTO TOTAL</t>
  </si>
  <si>
    <t>Cantidad Dem</t>
  </si>
  <si>
    <t>Cant Dem Ser y Mo</t>
  </si>
  <si>
    <t>AÑO1</t>
  </si>
  <si>
    <t>AÑ02</t>
  </si>
  <si>
    <t>AÑO4</t>
  </si>
  <si>
    <t>Ventas</t>
  </si>
  <si>
    <t>Costo de Producción</t>
  </si>
  <si>
    <t>Utilidad Bruta</t>
  </si>
  <si>
    <t>(-) Gastos de Administración</t>
  </si>
  <si>
    <t>(-) Gasto de Ventas</t>
  </si>
  <si>
    <t>(-) Gasto de Financiero</t>
  </si>
  <si>
    <t>Utilidad antes de impuestos</t>
  </si>
  <si>
    <t>(-) 15% part. Trabajadores</t>
  </si>
  <si>
    <t>Utilidad a IR</t>
  </si>
  <si>
    <t>(-) Impuesto a la renta</t>
  </si>
  <si>
    <t>Utilidad Neta</t>
  </si>
  <si>
    <t>Tasa de descuento por CAPM</t>
  </si>
  <si>
    <t>Rubros</t>
  </si>
  <si>
    <t>Elementos</t>
  </si>
  <si>
    <t>Fuente</t>
  </si>
  <si>
    <t>AÑO</t>
  </si>
  <si>
    <t>Kd= Costo de Deuda</t>
  </si>
  <si>
    <t>Tasa libre de riesgo</t>
  </si>
  <si>
    <t xml:space="preserve">Bonos del tesoro USA junio </t>
  </si>
  <si>
    <t>Préstamo</t>
  </si>
  <si>
    <t>D= Deuda</t>
  </si>
  <si>
    <t>Prima de riesgo pais</t>
  </si>
  <si>
    <t>Banco Central del Ecuador</t>
  </si>
  <si>
    <t>Capital</t>
  </si>
  <si>
    <t>D+C= Deuda + Capital</t>
  </si>
  <si>
    <t>Coeficiente Beta</t>
  </si>
  <si>
    <t>Yahoo Finace, empresa salud servicios especializados</t>
  </si>
  <si>
    <t>tc= Tasa de impuesto</t>
  </si>
  <si>
    <t>Rendimiento de mercado de salud</t>
  </si>
  <si>
    <t>WACC ( Sin Impuesto)</t>
  </si>
  <si>
    <t>Kc= Costo de Capital</t>
  </si>
  <si>
    <t>Total de descuento</t>
  </si>
  <si>
    <t>WACC (Con Impuesto)</t>
  </si>
  <si>
    <t>C= Capital</t>
  </si>
  <si>
    <t>WACC</t>
  </si>
  <si>
    <t>Ingreso nominal</t>
  </si>
  <si>
    <t>Impuesto a la renta</t>
  </si>
  <si>
    <t>Saldo</t>
  </si>
  <si>
    <t>15% partic. A trabajadores</t>
  </si>
  <si>
    <t>Total impuesto + partc</t>
  </si>
  <si>
    <t>Tasa porcentual</t>
  </si>
  <si>
    <t>AÑO 0</t>
  </si>
  <si>
    <t>Años</t>
  </si>
  <si>
    <t>Flujo de caja</t>
  </si>
  <si>
    <t>Factor de actualización</t>
  </si>
  <si>
    <t>Flujo de efectivo actual</t>
  </si>
  <si>
    <t>Flujo de efectivo acumulado</t>
  </si>
  <si>
    <t>1 / ( 1 + i ) ^ n</t>
  </si>
  <si>
    <t>Servicios de Adminidtración de gases</t>
  </si>
  <si>
    <t>Monitoreo de gases medicinales</t>
  </si>
  <si>
    <t>Total Ingresos</t>
  </si>
  <si>
    <t>Egresos</t>
  </si>
  <si>
    <t>Costos Producción</t>
  </si>
  <si>
    <t>Gastos Administrativos</t>
  </si>
  <si>
    <t>TIR=</t>
  </si>
  <si>
    <t>Gastos en Ventas</t>
  </si>
  <si>
    <t>TOTAL EGRESOS</t>
  </si>
  <si>
    <t>Utilidad Operativa antes de Impuestos</t>
  </si>
  <si>
    <t>Participación de los Trabajadores (15%)</t>
  </si>
  <si>
    <t>Impuesto a la renta (22%)</t>
  </si>
  <si>
    <t>Total Impuestos y participación</t>
  </si>
  <si>
    <t>Utilidad Operativa después de Impuestos</t>
  </si>
  <si>
    <t>Ajuste depreciaciones</t>
  </si>
  <si>
    <t>Inversión inicial</t>
  </si>
  <si>
    <t>Capital de trabajo</t>
  </si>
  <si>
    <t>FlUJO DE CAJA</t>
  </si>
  <si>
    <t>CAPM</t>
  </si>
  <si>
    <t>Gastos Financieros</t>
  </si>
  <si>
    <t>Financiamiento (préstamo)</t>
  </si>
  <si>
    <t>Amortización del Crèdito</t>
  </si>
  <si>
    <t>TIR:</t>
  </si>
  <si>
    <t>FLUJO DE CAJA</t>
  </si>
  <si>
    <t>FACTOR DE ACTUALIZACIÓN 1/(1+i)^ n</t>
  </si>
  <si>
    <t>FLUJO DE CAJA DE EFECTIVO ACTUAL</t>
  </si>
  <si>
    <t>FLUJO DE CAJA DE EFECTIVO ACUMULADO</t>
  </si>
  <si>
    <t>VAN=</t>
  </si>
  <si>
    <t>TIR</t>
  </si>
  <si>
    <t>Costos</t>
  </si>
  <si>
    <t>%  de Utilización</t>
  </si>
  <si>
    <t xml:space="preserve"> (O2)m3</t>
  </si>
  <si>
    <t>(CO2) m3</t>
  </si>
  <si>
    <t>(N2) m3</t>
  </si>
  <si>
    <t>(N2O) m3</t>
  </si>
  <si>
    <t>Aire m3</t>
  </si>
  <si>
    <t>Servicio</t>
  </si>
  <si>
    <t>Monitoreo</t>
  </si>
  <si>
    <t>Fijos</t>
  </si>
  <si>
    <t>Variables</t>
  </si>
  <si>
    <t>Materia Prima</t>
  </si>
  <si>
    <t>Mano de Obra Directa</t>
  </si>
  <si>
    <t>Mano de Obra Indirecta</t>
  </si>
  <si>
    <t>Amortizaciones</t>
  </si>
  <si>
    <t>Depreciaciones</t>
  </si>
  <si>
    <t>Gastos Finacieros</t>
  </si>
  <si>
    <t>Servicios Básicos</t>
  </si>
  <si>
    <t>CuV</t>
  </si>
  <si>
    <t>Unidades</t>
  </si>
  <si>
    <t>PV=</t>
  </si>
  <si>
    <t>PE</t>
  </si>
  <si>
    <t>PE (O2)m3</t>
  </si>
  <si>
    <t>PE (CO2) m3</t>
  </si>
  <si>
    <t>PE (N2) m3</t>
  </si>
  <si>
    <t>PE (N2O) m3</t>
  </si>
  <si>
    <t>PE AIRE</t>
  </si>
  <si>
    <t>Precio Venta Unitario</t>
  </si>
  <si>
    <t>Cantidades</t>
  </si>
  <si>
    <t>Ingreso Total</t>
  </si>
  <si>
    <t>Costos fijos</t>
  </si>
  <si>
    <t>Costo Variable Unitario</t>
  </si>
  <si>
    <t>Costo Variable Total</t>
  </si>
  <si>
    <t>Costos Total</t>
  </si>
  <si>
    <t xml:space="preserve">Servicio </t>
  </si>
  <si>
    <t xml:space="preserve">Flujo </t>
  </si>
  <si>
    <t>Flujo acumulado</t>
  </si>
  <si>
    <t>a=</t>
  </si>
  <si>
    <t>b=</t>
  </si>
  <si>
    <t>c=</t>
  </si>
  <si>
    <t>d=</t>
  </si>
  <si>
    <t>PRC</t>
  </si>
  <si>
    <t>MESES</t>
  </si>
  <si>
    <t>ACTIVOS</t>
  </si>
  <si>
    <t>PASIVOS Y PATRIMONIO</t>
  </si>
  <si>
    <t>Activos corrientes</t>
  </si>
  <si>
    <t>Pasivos a corto plazo</t>
  </si>
  <si>
    <t>Caja Bancos</t>
  </si>
  <si>
    <t>Préstamo Bancario</t>
  </si>
  <si>
    <t>Total activos corrientes</t>
  </si>
  <si>
    <t>Total pasivo</t>
  </si>
  <si>
    <t>Patrimonio</t>
  </si>
  <si>
    <t>Construcciones</t>
  </si>
  <si>
    <t>Capital Social</t>
  </si>
  <si>
    <t>Vehículo</t>
  </si>
  <si>
    <t>Total patrimonio</t>
  </si>
  <si>
    <t>Varios activos fijos</t>
  </si>
  <si>
    <t>Total activos</t>
  </si>
  <si>
    <t>Total pasivo + patrimonio</t>
  </si>
  <si>
    <t>Valor de salvamento</t>
  </si>
  <si>
    <t>( + ) depreciación</t>
  </si>
  <si>
    <t>( + ) amortización intangibles</t>
  </si>
  <si>
    <t>( - ) amortización bancaria</t>
  </si>
  <si>
    <t>Inversión Fija</t>
  </si>
  <si>
    <t>Inversión Intangible</t>
  </si>
  <si>
    <t>Capital de Trabajo</t>
  </si>
  <si>
    <t>Rec. Capital de Trabajo</t>
  </si>
  <si>
    <t>INDICADOR</t>
  </si>
  <si>
    <t>VAN PROYECTO</t>
  </si>
  <si>
    <t>VAN INVERSIONISTA</t>
  </si>
  <si>
    <t>TIR PROYECTO</t>
  </si>
  <si>
    <t>TIR INVERSIONISTA</t>
  </si>
  <si>
    <t>Punto Equilibrio oxigeno  (m3)</t>
  </si>
  <si>
    <t>Punto Equilibrio dióxido de carbono (m3)</t>
  </si>
  <si>
    <t>Punto Equilibrio nitrógeno  (m3)</t>
  </si>
  <si>
    <t>Punto Equilibrio oxido nitroso  m3</t>
  </si>
  <si>
    <t>Punto Equilibrio aire m3</t>
  </si>
  <si>
    <t xml:space="preserve">Punto de Equilibrio Dispensación </t>
  </si>
  <si>
    <t>Punto de Equilibrio Monitoreo</t>
  </si>
  <si>
    <t>PRI</t>
  </si>
  <si>
    <t>2 años 11 meses</t>
  </si>
  <si>
    <t>Sumatoria</t>
  </si>
  <si>
    <t>https://www.youtube.com/watch?v=SD0TTFqJN3c</t>
  </si>
  <si>
    <t>https://www.youtube.com/watch?v=pzSF4mFzkDA</t>
  </si>
  <si>
    <t>Deuda</t>
  </si>
  <si>
    <t>% Deuda</t>
  </si>
  <si>
    <t>% Patrimonio</t>
  </si>
  <si>
    <t>Kd</t>
  </si>
  <si>
    <t>Beta de Sector</t>
  </si>
  <si>
    <t>Beta Proyectado</t>
  </si>
  <si>
    <t>COK Dólares</t>
  </si>
  <si>
    <t>CAPM (MODELO DE VALORACIÓN DE ACTIVOS FINANCIEROS)</t>
  </si>
  <si>
    <t>SECTOR DEL RENDIMIENTO AGROINDUSTRIA</t>
  </si>
  <si>
    <t>ACTIVO ------- FINANCIERO</t>
  </si>
  <si>
    <t>TASA ACTIVA=</t>
  </si>
  <si>
    <t>TASA DE CRECIMIENTO SECTOR</t>
  </si>
  <si>
    <t>NUEVOS NEGOCIOS</t>
  </si>
  <si>
    <t>PRIMERO</t>
  </si>
  <si>
    <t>COSTOS DE K</t>
  </si>
  <si>
    <t>WACC=</t>
  </si>
  <si>
    <t>TMAR</t>
  </si>
  <si>
    <t>SEGUNDO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</si>
</sst>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#,##0.00;[Red]&quot;$&quot;\-#,##0.00"/>
    <numFmt numFmtId="44" formatCode="_ &quot;$&quot;* #,##0.00_ ;_ &quot;$&quot;* \-#,##0.00_ ;_ &quot;$&quot;* &quot;-&quot;??_ ;_ @_ "/>
    <numFmt numFmtId="164" formatCode="&quot;$&quot;\ #,##0.00_);[Red]\(&quot;$&quot;\ #,##0.00\)"/>
    <numFmt numFmtId="165" formatCode="_(&quot;$&quot;\ * #,##0.00_);_(&quot;$&quot;\ * \(#,##0.00\);_(&quot;$&quot;\ * &quot;-&quot;??_);_(@_)"/>
    <numFmt numFmtId="166" formatCode="0.0"/>
    <numFmt numFmtId="167" formatCode="&quot;$&quot;\ #,##0.00"/>
    <numFmt numFmtId="168" formatCode="_-* #,##0.00\ _€_-;\-* #,##0.00\ _€_-;_-* &quot;-&quot;??\ _€_-;_-@_-"/>
    <numFmt numFmtId="169" formatCode="General_)"/>
    <numFmt numFmtId="170" formatCode="0.0%"/>
    <numFmt numFmtId="171" formatCode="0.000%"/>
    <numFmt numFmtId="172" formatCode="0.0000000000"/>
    <numFmt numFmtId="173" formatCode="0.00000000"/>
    <numFmt numFmtId="174" formatCode="_(&quot;$&quot;\ * #,##0.000_);_(&quot;$&quot;\ * \(#,##0.000\);_(&quot;$&quot;\ * &quot;-&quot;??_);_(@_)"/>
    <numFmt numFmtId="175" formatCode="0.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2"/>
      <color rgb="FF000000"/>
      <name val="Times New Roman"/>
      <family val="1"/>
    </font>
    <font>
      <sz val="9"/>
      <color rgb="FF333333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0"/>
      <name val="Courier"/>
      <family val="3"/>
    </font>
    <font>
      <sz val="12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rgb="FF333333"/>
      <name val="Arial"/>
      <family val="2"/>
    </font>
    <font>
      <sz val="12"/>
      <color theme="1"/>
      <name val="Calibri"/>
      <family val="2"/>
      <scheme val="minor"/>
    </font>
    <font>
      <sz val="12"/>
      <color rgb="FF333333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1" fillId="0" borderId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9" fontId="12" fillId="0" borderId="0"/>
    <xf numFmtId="169" fontId="13" fillId="0" borderId="0"/>
    <xf numFmtId="9" fontId="3" fillId="0" borderId="0" applyFont="0" applyFill="0" applyBorder="0" applyAlignment="0" applyProtection="0"/>
  </cellStyleXfs>
  <cellXfs count="56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0" borderId="7" xfId="0" applyBorder="1"/>
    <xf numFmtId="0" fontId="0" fillId="3" borderId="1" xfId="0" applyFill="1" applyBorder="1"/>
    <xf numFmtId="0" fontId="0" fillId="4" borderId="1" xfId="0" applyFill="1" applyBorder="1"/>
    <xf numFmtId="0" fontId="0" fillId="4" borderId="7" xfId="0" applyFill="1" applyBorder="1"/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left" vertical="top"/>
    </xf>
    <xf numFmtId="0" fontId="0" fillId="6" borderId="7" xfId="0" applyFill="1" applyBorder="1"/>
    <xf numFmtId="0" fontId="1" fillId="6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2" fillId="0" borderId="1" xfId="0" applyFont="1" applyBorder="1"/>
    <xf numFmtId="0" fontId="2" fillId="4" borderId="1" xfId="0" applyFont="1" applyFill="1" applyBorder="1"/>
    <xf numFmtId="0" fontId="2" fillId="0" borderId="0" xfId="0" applyFont="1"/>
    <xf numFmtId="0" fontId="1" fillId="6" borderId="0" xfId="0" applyFont="1" applyFill="1"/>
    <xf numFmtId="0" fontId="0" fillId="6" borderId="0" xfId="0" applyFill="1" applyAlignment="1">
      <alignment horizontal="right"/>
    </xf>
    <xf numFmtId="0" fontId="0" fillId="6" borderId="0" xfId="0" applyFill="1" applyAlignment="1">
      <alignment horizontal="center"/>
    </xf>
    <xf numFmtId="0" fontId="0" fillId="6" borderId="0" xfId="0" applyFill="1"/>
    <xf numFmtId="2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1" xfId="0" applyFont="1" applyBorder="1"/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center"/>
    </xf>
    <xf numFmtId="165" fontId="5" fillId="0" borderId="1" xfId="2" applyFont="1" applyBorder="1" applyAlignment="1">
      <alignment horizontal="center" vertical="center"/>
    </xf>
    <xf numFmtId="165" fontId="4" fillId="0" borderId="12" xfId="2" applyFont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center"/>
    </xf>
    <xf numFmtId="165" fontId="9" fillId="0" borderId="1" xfId="2" applyFont="1" applyBorder="1" applyAlignment="1">
      <alignment horizontal="center"/>
    </xf>
    <xf numFmtId="165" fontId="9" fillId="0" borderId="1" xfId="2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2" applyFont="1" applyBorder="1" applyAlignment="1"/>
    <xf numFmtId="165" fontId="4" fillId="0" borderId="1" xfId="2" applyFont="1" applyBorder="1" applyAlignment="1">
      <alignment horizontal="center" vertical="center"/>
    </xf>
    <xf numFmtId="165" fontId="5" fillId="0" borderId="12" xfId="2" applyFont="1" applyBorder="1" applyAlignment="1">
      <alignment horizontal="left" vertical="center"/>
    </xf>
    <xf numFmtId="165" fontId="4" fillId="0" borderId="12" xfId="2" applyFont="1" applyBorder="1" applyAlignment="1">
      <alignment horizontal="left" vertical="center"/>
    </xf>
    <xf numFmtId="165" fontId="5" fillId="0" borderId="12" xfId="2" applyFont="1" applyBorder="1" applyAlignment="1">
      <alignment horizontal="center" vertical="center"/>
    </xf>
    <xf numFmtId="0" fontId="5" fillId="0" borderId="1" xfId="2" applyNumberFormat="1" applyFont="1" applyBorder="1" applyAlignment="1">
      <alignment horizontal="center" vertical="center"/>
    </xf>
    <xf numFmtId="0" fontId="4" fillId="0" borderId="12" xfId="2" applyNumberFormat="1" applyFont="1" applyBorder="1" applyAlignment="1">
      <alignment horizontal="center" vertical="center"/>
    </xf>
    <xf numFmtId="0" fontId="10" fillId="0" borderId="9" xfId="0" applyFont="1" applyBorder="1"/>
    <xf numFmtId="0" fontId="9" fillId="0" borderId="22" xfId="0" applyFont="1" applyBorder="1"/>
    <xf numFmtId="0" fontId="9" fillId="0" borderId="23" xfId="0" applyFont="1" applyBorder="1"/>
    <xf numFmtId="0" fontId="10" fillId="0" borderId="24" xfId="0" applyFont="1" applyBorder="1"/>
    <xf numFmtId="0" fontId="10" fillId="0" borderId="14" xfId="0" applyFont="1" applyBorder="1"/>
    <xf numFmtId="165" fontId="9" fillId="0" borderId="25" xfId="2" applyFont="1" applyBorder="1" applyAlignment="1">
      <alignment horizontal="center"/>
    </xf>
    <xf numFmtId="165" fontId="5" fillId="6" borderId="26" xfId="2" applyFont="1" applyFill="1" applyBorder="1" applyAlignment="1">
      <alignment horizontal="center" vertical="center"/>
    </xf>
    <xf numFmtId="165" fontId="9" fillId="0" borderId="26" xfId="2" applyFont="1" applyBorder="1" applyAlignment="1">
      <alignment horizontal="center"/>
    </xf>
    <xf numFmtId="165" fontId="10" fillId="0" borderId="27" xfId="2" applyFont="1" applyBorder="1" applyAlignment="1">
      <alignment horizontal="center"/>
    </xf>
    <xf numFmtId="165" fontId="9" fillId="0" borderId="1" xfId="0" applyNumberFormat="1" applyFont="1" applyBorder="1"/>
    <xf numFmtId="165" fontId="10" fillId="0" borderId="1" xfId="0" applyNumberFormat="1" applyFont="1" applyBorder="1"/>
    <xf numFmtId="0" fontId="11" fillId="0" borderId="0" xfId="3"/>
    <xf numFmtId="0" fontId="11" fillId="0" borderId="0" xfId="3" applyAlignment="1">
      <alignment wrapText="1"/>
    </xf>
    <xf numFmtId="0" fontId="11" fillId="0" borderId="0" xfId="3" applyAlignment="1">
      <alignment horizontal="center"/>
    </xf>
    <xf numFmtId="0" fontId="14" fillId="0" borderId="1" xfId="3" applyFont="1" applyBorder="1"/>
    <xf numFmtId="0" fontId="14" fillId="0" borderId="16" xfId="3" applyFont="1" applyBorder="1"/>
    <xf numFmtId="0" fontId="14" fillId="0" borderId="32" xfId="3" applyFont="1" applyBorder="1"/>
    <xf numFmtId="0" fontId="14" fillId="6" borderId="29" xfId="3" applyFont="1" applyFill="1" applyBorder="1"/>
    <xf numFmtId="0" fontId="14" fillId="6" borderId="30" xfId="3" applyFont="1" applyFill="1" applyBorder="1"/>
    <xf numFmtId="0" fontId="14" fillId="6" borderId="30" xfId="3" applyFont="1" applyFill="1" applyBorder="1" applyAlignment="1">
      <alignment wrapText="1"/>
    </xf>
    <xf numFmtId="0" fontId="14" fillId="6" borderId="31" xfId="3" applyFont="1" applyFill="1" applyBorder="1" applyAlignment="1">
      <alignment wrapText="1"/>
    </xf>
    <xf numFmtId="3" fontId="18" fillId="0" borderId="1" xfId="9" applyNumberFormat="1" applyFont="1" applyBorder="1" applyAlignment="1">
      <alignment horizontal="center"/>
    </xf>
    <xf numFmtId="3" fontId="16" fillId="0" borderId="0" xfId="9" applyNumberFormat="1" applyFont="1" applyAlignment="1">
      <alignment horizontal="center"/>
    </xf>
    <xf numFmtId="167" fontId="16" fillId="0" borderId="0" xfId="9" applyNumberFormat="1" applyFont="1"/>
    <xf numFmtId="3" fontId="17" fillId="0" borderId="29" xfId="9" applyNumberFormat="1" applyFont="1" applyBorder="1"/>
    <xf numFmtId="3" fontId="18" fillId="0" borderId="30" xfId="9" applyNumberFormat="1" applyFont="1" applyBorder="1" applyAlignment="1">
      <alignment horizontal="center"/>
    </xf>
    <xf numFmtId="167" fontId="18" fillId="0" borderId="31" xfId="9" applyNumberFormat="1" applyFont="1" applyBorder="1"/>
    <xf numFmtId="0" fontId="18" fillId="0" borderId="18" xfId="0" applyFont="1" applyBorder="1"/>
    <xf numFmtId="167" fontId="18" fillId="0" borderId="19" xfId="9" applyNumberFormat="1" applyFont="1" applyBorder="1"/>
    <xf numFmtId="169" fontId="18" fillId="0" borderId="18" xfId="8" applyFont="1" applyBorder="1" applyAlignment="1">
      <alignment horizontal="left"/>
    </xf>
    <xf numFmtId="0" fontId="0" fillId="0" borderId="18" xfId="0" applyBorder="1"/>
    <xf numFmtId="0" fontId="9" fillId="0" borderId="20" xfId="0" applyFont="1" applyBorder="1"/>
    <xf numFmtId="3" fontId="18" fillId="0" borderId="33" xfId="9" applyNumberFormat="1" applyFont="1" applyBorder="1" applyAlignment="1">
      <alignment horizontal="center"/>
    </xf>
    <xf numFmtId="167" fontId="18" fillId="0" borderId="21" xfId="9" applyNumberFormat="1" applyFont="1" applyBorder="1"/>
    <xf numFmtId="167" fontId="17" fillId="0" borderId="21" xfId="9" applyNumberFormat="1" applyFont="1" applyBorder="1"/>
    <xf numFmtId="165" fontId="14" fillId="0" borderId="1" xfId="3" applyNumberFormat="1" applyFont="1" applyBorder="1" applyAlignment="1">
      <alignment horizontal="center"/>
    </xf>
    <xf numFmtId="165" fontId="14" fillId="0" borderId="19" xfId="3" applyNumberFormat="1" applyFont="1" applyBorder="1" applyAlignment="1">
      <alignment horizontal="center"/>
    </xf>
    <xf numFmtId="165" fontId="14" fillId="0" borderId="32" xfId="3" applyNumberFormat="1" applyFont="1" applyBorder="1" applyAlignment="1">
      <alignment horizontal="center"/>
    </xf>
    <xf numFmtId="165" fontId="14" fillId="0" borderId="17" xfId="3" applyNumberFormat="1" applyFont="1" applyBorder="1" applyAlignment="1">
      <alignment horizontal="center"/>
    </xf>
    <xf numFmtId="165" fontId="9" fillId="0" borderId="1" xfId="2" applyFont="1" applyBorder="1"/>
    <xf numFmtId="9" fontId="0" fillId="0" borderId="0" xfId="0" applyNumberFormat="1"/>
    <xf numFmtId="0" fontId="21" fillId="0" borderId="3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10" fontId="0" fillId="0" borderId="0" xfId="0" applyNumberFormat="1"/>
    <xf numFmtId="0" fontId="21" fillId="0" borderId="35" xfId="0" applyFont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0" fontId="21" fillId="0" borderId="0" xfId="0" applyFont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36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0" fillId="7" borderId="1" xfId="0" applyFill="1" applyBorder="1" applyAlignment="1">
      <alignment horizontal="left"/>
    </xf>
    <xf numFmtId="0" fontId="0" fillId="7" borderId="1" xfId="0" applyFill="1" applyBorder="1"/>
    <xf numFmtId="10" fontId="0" fillId="0" borderId="0" xfId="1" applyNumberFormat="1" applyFont="1"/>
    <xf numFmtId="0" fontId="1" fillId="7" borderId="1" xfId="0" applyFont="1" applyFill="1" applyBorder="1" applyAlignment="1">
      <alignment horizontal="left"/>
    </xf>
    <xf numFmtId="0" fontId="1" fillId="7" borderId="1" xfId="0" applyFont="1" applyFill="1" applyBorder="1"/>
    <xf numFmtId="0" fontId="0" fillId="0" borderId="0" xfId="0" applyAlignment="1">
      <alignment horizontal="left"/>
    </xf>
    <xf numFmtId="0" fontId="0" fillId="2" borderId="0" xfId="0" applyFill="1"/>
    <xf numFmtId="0" fontId="19" fillId="2" borderId="0" xfId="0" applyFont="1" applyFill="1"/>
    <xf numFmtId="0" fontId="23" fillId="0" borderId="0" xfId="0" applyFont="1" applyAlignment="1">
      <alignment horizontal="left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170" fontId="0" fillId="0" borderId="0" xfId="1" applyNumberFormat="1" applyFont="1"/>
    <xf numFmtId="0" fontId="21" fillId="0" borderId="0" xfId="0" applyFont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9" fontId="20" fillId="0" borderId="14" xfId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44" xfId="0" applyBorder="1"/>
    <xf numFmtId="0" fontId="14" fillId="0" borderId="38" xfId="3" applyFont="1" applyBorder="1"/>
    <xf numFmtId="0" fontId="9" fillId="0" borderId="20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9" fontId="10" fillId="0" borderId="28" xfId="0" applyNumberFormat="1" applyFont="1" applyBorder="1"/>
    <xf numFmtId="0" fontId="4" fillId="0" borderId="4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9" fontId="10" fillId="0" borderId="41" xfId="0" applyNumberFormat="1" applyFont="1" applyBorder="1"/>
    <xf numFmtId="9" fontId="10" fillId="0" borderId="47" xfId="0" applyNumberFormat="1" applyFont="1" applyBorder="1"/>
    <xf numFmtId="2" fontId="9" fillId="0" borderId="26" xfId="0" applyNumberFormat="1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18" xfId="0" applyFont="1" applyBorder="1"/>
    <xf numFmtId="0" fontId="10" fillId="0" borderId="41" xfId="0" applyFont="1" applyBorder="1"/>
    <xf numFmtId="0" fontId="10" fillId="0" borderId="49" xfId="0" applyFont="1" applyBorder="1"/>
    <xf numFmtId="10" fontId="9" fillId="0" borderId="50" xfId="1" applyNumberFormat="1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9" fillId="0" borderId="46" xfId="0" applyFont="1" applyBorder="1"/>
    <xf numFmtId="2" fontId="9" fillId="0" borderId="48" xfId="0" applyNumberFormat="1" applyFont="1" applyBorder="1" applyAlignment="1">
      <alignment horizontal="center"/>
    </xf>
    <xf numFmtId="10" fontId="9" fillId="0" borderId="51" xfId="1" applyNumberFormat="1" applyFont="1" applyBorder="1" applyAlignment="1">
      <alignment horizontal="center"/>
    </xf>
    <xf numFmtId="0" fontId="9" fillId="0" borderId="9" xfId="0" applyFont="1" applyBorder="1"/>
    <xf numFmtId="2" fontId="9" fillId="0" borderId="14" xfId="0" applyNumberFormat="1" applyFont="1" applyBorder="1" applyAlignment="1">
      <alignment horizontal="center"/>
    </xf>
    <xf numFmtId="10" fontId="9" fillId="0" borderId="10" xfId="0" applyNumberFormat="1" applyFont="1" applyBorder="1" applyAlignment="1">
      <alignment horizontal="center"/>
    </xf>
    <xf numFmtId="0" fontId="10" fillId="0" borderId="42" xfId="0" applyFont="1" applyBorder="1"/>
    <xf numFmtId="0" fontId="9" fillId="0" borderId="26" xfId="0" applyFont="1" applyBorder="1"/>
    <xf numFmtId="165" fontId="9" fillId="0" borderId="26" xfId="0" applyNumberFormat="1" applyFont="1" applyBorder="1"/>
    <xf numFmtId="165" fontId="9" fillId="0" borderId="27" xfId="0" applyNumberFormat="1" applyFont="1" applyBorder="1"/>
    <xf numFmtId="165" fontId="9" fillId="0" borderId="48" xfId="0" applyNumberFormat="1" applyFont="1" applyBorder="1"/>
    <xf numFmtId="165" fontId="10" fillId="0" borderId="14" xfId="0" applyNumberFormat="1" applyFont="1" applyBorder="1"/>
    <xf numFmtId="165" fontId="0" fillId="0" borderId="0" xfId="0" applyNumberFormat="1"/>
    <xf numFmtId="165" fontId="9" fillId="0" borderId="19" xfId="0" applyNumberFormat="1" applyFont="1" applyBorder="1"/>
    <xf numFmtId="0" fontId="10" fillId="0" borderId="20" xfId="0" applyFont="1" applyBorder="1"/>
    <xf numFmtId="165" fontId="10" fillId="0" borderId="12" xfId="0" applyNumberFormat="1" applyFont="1" applyBorder="1"/>
    <xf numFmtId="0" fontId="9" fillId="0" borderId="52" xfId="0" applyFont="1" applyBorder="1" applyAlignment="1">
      <alignment horizontal="center"/>
    </xf>
    <xf numFmtId="0" fontId="10" fillId="0" borderId="16" xfId="0" applyFont="1" applyBorder="1"/>
    <xf numFmtId="0" fontId="10" fillId="0" borderId="32" xfId="0" applyFont="1" applyBorder="1"/>
    <xf numFmtId="0" fontId="10" fillId="0" borderId="17" xfId="0" applyFont="1" applyBorder="1"/>
    <xf numFmtId="9" fontId="10" fillId="0" borderId="40" xfId="0" applyNumberFormat="1" applyFont="1" applyBorder="1"/>
    <xf numFmtId="9" fontId="10" fillId="0" borderId="42" xfId="0" applyNumberFormat="1" applyFont="1" applyBorder="1"/>
    <xf numFmtId="9" fontId="10" fillId="0" borderId="41" xfId="0" applyNumberFormat="1" applyFont="1" applyBorder="1" applyAlignment="1">
      <alignment wrapText="1"/>
    </xf>
    <xf numFmtId="2" fontId="9" fillId="0" borderId="26" xfId="0" applyNumberFormat="1" applyFont="1" applyBorder="1" applyAlignment="1">
      <alignment horizontal="center" vertical="center"/>
    </xf>
    <xf numFmtId="0" fontId="10" fillId="0" borderId="23" xfId="0" applyFont="1" applyBorder="1"/>
    <xf numFmtId="0" fontId="10" fillId="0" borderId="23" xfId="0" applyFont="1" applyBorder="1" applyAlignment="1">
      <alignment wrapText="1"/>
    </xf>
    <xf numFmtId="9" fontId="10" fillId="0" borderId="49" xfId="0" applyNumberFormat="1" applyFont="1" applyBorder="1"/>
    <xf numFmtId="165" fontId="9" fillId="0" borderId="26" xfId="2" applyFont="1" applyBorder="1"/>
    <xf numFmtId="165" fontId="9" fillId="0" borderId="50" xfId="0" applyNumberFormat="1" applyFont="1" applyBorder="1"/>
    <xf numFmtId="0" fontId="10" fillId="0" borderId="14" xfId="0" applyFont="1" applyBorder="1" applyAlignment="1">
      <alignment horizontal="center"/>
    </xf>
    <xf numFmtId="165" fontId="9" fillId="0" borderId="48" xfId="2" applyFont="1" applyBorder="1" applyAlignment="1">
      <alignment horizontal="center"/>
    </xf>
    <xf numFmtId="0" fontId="10" fillId="0" borderId="46" xfId="0" applyFont="1" applyBorder="1"/>
    <xf numFmtId="0" fontId="10" fillId="0" borderId="22" xfId="0" applyFont="1" applyBorder="1"/>
    <xf numFmtId="0" fontId="4" fillId="0" borderId="2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/>
    </xf>
    <xf numFmtId="165" fontId="10" fillId="0" borderId="14" xfId="2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165" fontId="10" fillId="0" borderId="11" xfId="2" applyFont="1" applyBorder="1" applyAlignment="1">
      <alignment horizontal="center"/>
    </xf>
    <xf numFmtId="0" fontId="4" fillId="0" borderId="4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10" fillId="0" borderId="25" xfId="0" applyFont="1" applyBorder="1"/>
    <xf numFmtId="0" fontId="10" fillId="0" borderId="26" xfId="0" applyFont="1" applyBorder="1"/>
    <xf numFmtId="0" fontId="10" fillId="0" borderId="48" xfId="0" applyFont="1" applyBorder="1"/>
    <xf numFmtId="165" fontId="9" fillId="0" borderId="55" xfId="2" applyFont="1" applyBorder="1" applyAlignment="1">
      <alignment horizontal="center"/>
    </xf>
    <xf numFmtId="165" fontId="9" fillId="0" borderId="4" xfId="2" applyFont="1" applyBorder="1" applyAlignment="1">
      <alignment horizontal="center"/>
    </xf>
    <xf numFmtId="165" fontId="10" fillId="0" borderId="12" xfId="2" applyFont="1" applyBorder="1" applyAlignment="1">
      <alignment horizontal="center"/>
    </xf>
    <xf numFmtId="164" fontId="0" fillId="0" borderId="0" xfId="0" applyNumberFormat="1"/>
    <xf numFmtId="16" fontId="0" fillId="0" borderId="0" xfId="0" applyNumberFormat="1"/>
    <xf numFmtId="170" fontId="9" fillId="0" borderId="26" xfId="0" applyNumberFormat="1" applyFont="1" applyBorder="1"/>
    <xf numFmtId="165" fontId="7" fillId="0" borderId="12" xfId="0" applyNumberFormat="1" applyFont="1" applyBorder="1" applyAlignment="1">
      <alignment horizontal="right" vertical="center"/>
    </xf>
    <xf numFmtId="165" fontId="7" fillId="0" borderId="12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9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65" fontId="9" fillId="0" borderId="18" xfId="2" applyFont="1" applyBorder="1" applyAlignment="1">
      <alignment horizontal="center"/>
    </xf>
    <xf numFmtId="164" fontId="7" fillId="0" borderId="19" xfId="0" applyNumberFormat="1" applyFont="1" applyBorder="1" applyAlignment="1">
      <alignment horizontal="center" vertical="center"/>
    </xf>
    <xf numFmtId="165" fontId="7" fillId="0" borderId="18" xfId="2" applyFont="1" applyBorder="1" applyAlignment="1">
      <alignment horizontal="center" vertical="center"/>
    </xf>
    <xf numFmtId="165" fontId="7" fillId="0" borderId="57" xfId="2" applyFont="1" applyBorder="1" applyAlignment="1">
      <alignment horizontal="center" vertical="center"/>
    </xf>
    <xf numFmtId="9" fontId="7" fillId="0" borderId="7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58" xfId="0" applyNumberFormat="1" applyFont="1" applyBorder="1" applyAlignment="1">
      <alignment horizontal="center" vertical="center"/>
    </xf>
    <xf numFmtId="165" fontId="7" fillId="0" borderId="52" xfId="2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165" fontId="7" fillId="0" borderId="16" xfId="2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165" fontId="7" fillId="0" borderId="16" xfId="2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165" fontId="9" fillId="0" borderId="19" xfId="2" applyFont="1" applyBorder="1" applyAlignment="1">
      <alignment horizontal="center"/>
    </xf>
    <xf numFmtId="165" fontId="9" fillId="0" borderId="6" xfId="2" applyFont="1" applyBorder="1" applyAlignment="1">
      <alignment horizontal="center"/>
    </xf>
    <xf numFmtId="0" fontId="9" fillId="0" borderId="15" xfId="0" applyFont="1" applyBorder="1"/>
    <xf numFmtId="165" fontId="9" fillId="0" borderId="14" xfId="2" applyFont="1" applyBorder="1" applyAlignment="1">
      <alignment horizontal="center"/>
    </xf>
    <xf numFmtId="165" fontId="9" fillId="0" borderId="37" xfId="2" applyFont="1" applyBorder="1"/>
    <xf numFmtId="165" fontId="9" fillId="0" borderId="53" xfId="2" applyFont="1" applyBorder="1"/>
    <xf numFmtId="165" fontId="9" fillId="0" borderId="19" xfId="2" applyFont="1" applyBorder="1"/>
    <xf numFmtId="165" fontId="9" fillId="0" borderId="33" xfId="2" applyFont="1" applyBorder="1"/>
    <xf numFmtId="165" fontId="9" fillId="0" borderId="21" xfId="2" applyFont="1" applyBorder="1"/>
    <xf numFmtId="0" fontId="5" fillId="0" borderId="14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165" fontId="5" fillId="0" borderId="12" xfId="2" applyFont="1" applyBorder="1" applyAlignment="1">
      <alignment vertical="center"/>
    </xf>
    <xf numFmtId="165" fontId="5" fillId="0" borderId="12" xfId="2" applyFont="1" applyBorder="1" applyAlignment="1">
      <alignment horizontal="right" vertical="center"/>
    </xf>
    <xf numFmtId="165" fontId="5" fillId="8" borderId="12" xfId="2" applyFont="1" applyFill="1" applyBorder="1" applyAlignment="1">
      <alignment horizontal="right" vertical="center"/>
    </xf>
    <xf numFmtId="164" fontId="5" fillId="0" borderId="12" xfId="2" applyNumberFormat="1" applyFont="1" applyBorder="1" applyAlignment="1">
      <alignment horizontal="right" vertical="center"/>
    </xf>
    <xf numFmtId="0" fontId="9" fillId="0" borderId="57" xfId="0" applyFont="1" applyBorder="1" applyAlignment="1">
      <alignment horizontal="center"/>
    </xf>
    <xf numFmtId="165" fontId="9" fillId="0" borderId="7" xfId="2" applyFont="1" applyBorder="1"/>
    <xf numFmtId="170" fontId="0" fillId="0" borderId="0" xfId="0" applyNumberFormat="1"/>
    <xf numFmtId="164" fontId="9" fillId="0" borderId="37" xfId="2" applyNumberFormat="1" applyFont="1" applyBorder="1"/>
    <xf numFmtId="164" fontId="9" fillId="0" borderId="1" xfId="2" applyNumberFormat="1" applyFont="1" applyBorder="1"/>
    <xf numFmtId="164" fontId="9" fillId="0" borderId="7" xfId="2" applyNumberFormat="1" applyFont="1" applyBorder="1"/>
    <xf numFmtId="164" fontId="9" fillId="0" borderId="33" xfId="2" applyNumberFormat="1" applyFont="1" applyBorder="1"/>
    <xf numFmtId="164" fontId="0" fillId="0" borderId="0" xfId="2" applyNumberFormat="1" applyFont="1"/>
    <xf numFmtId="164" fontId="9" fillId="0" borderId="37" xfId="2" applyNumberFormat="1" applyFont="1" applyBorder="1" applyAlignment="1">
      <alignment horizontal="center"/>
    </xf>
    <xf numFmtId="164" fontId="9" fillId="0" borderId="59" xfId="2" applyNumberFormat="1" applyFont="1" applyBorder="1"/>
    <xf numFmtId="164" fontId="9" fillId="0" borderId="59" xfId="2" applyNumberFormat="1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165" fontId="9" fillId="0" borderId="3" xfId="2" applyFont="1" applyBorder="1" applyAlignment="1">
      <alignment horizontal="center"/>
    </xf>
    <xf numFmtId="165" fontId="9" fillId="0" borderId="5" xfId="2" applyFont="1" applyBorder="1" applyAlignment="1">
      <alignment horizontal="center"/>
    </xf>
    <xf numFmtId="165" fontId="9" fillId="0" borderId="15" xfId="0" applyNumberFormat="1" applyFont="1" applyBorder="1"/>
    <xf numFmtId="165" fontId="9" fillId="0" borderId="14" xfId="0" applyNumberFormat="1" applyFont="1" applyBorder="1"/>
    <xf numFmtId="165" fontId="9" fillId="0" borderId="3" xfId="2" applyFont="1" applyBorder="1" applyAlignment="1">
      <alignment horizontal="center" vertical="center"/>
    </xf>
    <xf numFmtId="165" fontId="9" fillId="0" borderId="26" xfId="0" applyNumberFormat="1" applyFont="1" applyBorder="1" applyAlignment="1">
      <alignment vertical="center"/>
    </xf>
    <xf numFmtId="165" fontId="0" fillId="0" borderId="1" xfId="0" applyNumberFormat="1" applyBorder="1"/>
    <xf numFmtId="164" fontId="9" fillId="0" borderId="0" xfId="2" applyNumberFormat="1" applyFont="1" applyFill="1" applyBorder="1"/>
    <xf numFmtId="164" fontId="9" fillId="0" borderId="0" xfId="2" applyNumberFormat="1" applyFont="1" applyFill="1" applyBorder="1" applyAlignment="1">
      <alignment horizontal="center"/>
    </xf>
    <xf numFmtId="164" fontId="9" fillId="0" borderId="1" xfId="0" applyNumberFormat="1" applyFont="1" applyBorder="1"/>
    <xf numFmtId="0" fontId="10" fillId="0" borderId="35" xfId="0" applyFont="1" applyBorder="1" applyAlignment="1">
      <alignment horizontal="center"/>
    </xf>
    <xf numFmtId="165" fontId="7" fillId="0" borderId="12" xfId="2" applyFont="1" applyBorder="1" applyAlignment="1">
      <alignment horizontal="center" vertical="center"/>
    </xf>
    <xf numFmtId="171" fontId="0" fillId="0" borderId="0" xfId="0" applyNumberFormat="1"/>
    <xf numFmtId="0" fontId="0" fillId="0" borderId="1" xfId="0" applyBorder="1" applyAlignment="1">
      <alignment wrapText="1"/>
    </xf>
    <xf numFmtId="165" fontId="0" fillId="0" borderId="1" xfId="2" applyFont="1" applyBorder="1"/>
    <xf numFmtId="0" fontId="0" fillId="0" borderId="13" xfId="0" applyBorder="1"/>
    <xf numFmtId="0" fontId="0" fillId="0" borderId="61" xfId="0" applyBorder="1"/>
    <xf numFmtId="0" fontId="0" fillId="0" borderId="12" xfId="0" applyBorder="1"/>
    <xf numFmtId="165" fontId="0" fillId="0" borderId="1" xfId="2" applyFont="1" applyBorder="1" applyAlignment="1">
      <alignment horizontal="center"/>
    </xf>
    <xf numFmtId="165" fontId="0" fillId="0" borderId="7" xfId="2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10" fontId="0" fillId="0" borderId="10" xfId="0" applyNumberFormat="1" applyBorder="1"/>
    <xf numFmtId="172" fontId="7" fillId="0" borderId="12" xfId="0" applyNumberFormat="1" applyFont="1" applyBorder="1" applyAlignment="1">
      <alignment horizontal="center" vertical="center"/>
    </xf>
    <xf numFmtId="173" fontId="7" fillId="0" borderId="12" xfId="0" applyNumberFormat="1" applyFont="1" applyBorder="1" applyAlignment="1">
      <alignment horizontal="center" vertical="center"/>
    </xf>
    <xf numFmtId="0" fontId="9" fillId="0" borderId="14" xfId="0" applyFont="1" applyBorder="1"/>
    <xf numFmtId="165" fontId="9" fillId="0" borderId="14" xfId="2" applyFont="1" applyBorder="1" applyAlignment="1"/>
    <xf numFmtId="165" fontId="7" fillId="0" borderId="12" xfId="2" applyFont="1" applyBorder="1" applyAlignment="1">
      <alignment vertical="center"/>
    </xf>
    <xf numFmtId="174" fontId="0" fillId="0" borderId="0" xfId="0" applyNumberFormat="1"/>
    <xf numFmtId="10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37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37" xfId="0" applyFont="1" applyBorder="1" applyAlignment="1">
      <alignment horizontal="left" wrapText="1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7" fontId="9" fillId="0" borderId="1" xfId="2" applyNumberFormat="1" applyFont="1" applyBorder="1"/>
    <xf numFmtId="0" fontId="10" fillId="0" borderId="10" xfId="0" applyFont="1" applyBorder="1" applyAlignment="1">
      <alignment horizontal="center"/>
    </xf>
    <xf numFmtId="165" fontId="9" fillId="0" borderId="50" xfId="2" applyFont="1" applyBorder="1" applyAlignment="1">
      <alignment horizontal="center"/>
    </xf>
    <xf numFmtId="165" fontId="9" fillId="0" borderId="51" xfId="0" applyNumberFormat="1" applyFont="1" applyBorder="1"/>
    <xf numFmtId="0" fontId="4" fillId="0" borderId="41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24" fillId="0" borderId="0" xfId="0" applyFont="1"/>
    <xf numFmtId="0" fontId="20" fillId="0" borderId="1" xfId="0" applyFont="1" applyBorder="1"/>
    <xf numFmtId="166" fontId="20" fillId="0" borderId="1" xfId="0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9" fontId="20" fillId="0" borderId="1" xfId="0" applyNumberFormat="1" applyFont="1" applyBorder="1" applyAlignment="1">
      <alignment horizontal="center"/>
    </xf>
    <xf numFmtId="0" fontId="20" fillId="0" borderId="0" xfId="0" applyFont="1"/>
    <xf numFmtId="0" fontId="24" fillId="0" borderId="1" xfId="0" applyFont="1" applyBorder="1"/>
    <xf numFmtId="4" fontId="20" fillId="0" borderId="1" xfId="0" applyNumberFormat="1" applyFont="1" applyBorder="1"/>
    <xf numFmtId="10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wrapText="1"/>
    </xf>
    <xf numFmtId="0" fontId="20" fillId="0" borderId="29" xfId="0" applyFont="1" applyBorder="1" applyAlignment="1">
      <alignment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0" fillId="0" borderId="18" xfId="0" applyFont="1" applyBorder="1"/>
    <xf numFmtId="2" fontId="0" fillId="0" borderId="19" xfId="0" applyNumberFormat="1" applyBorder="1"/>
    <xf numFmtId="0" fontId="20" fillId="0" borderId="20" xfId="0" applyFont="1" applyBorder="1"/>
    <xf numFmtId="10" fontId="20" fillId="0" borderId="33" xfId="0" applyNumberFormat="1" applyFont="1" applyBorder="1" applyAlignment="1">
      <alignment horizontal="center"/>
    </xf>
    <xf numFmtId="10" fontId="20" fillId="0" borderId="2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4" fillId="0" borderId="11" xfId="0" applyFont="1" applyBorder="1" applyAlignment="1">
      <alignment horizontal="justify" vertical="center"/>
    </xf>
    <xf numFmtId="0" fontId="22" fillId="0" borderId="12" xfId="0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" fontId="2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justify" vertical="center"/>
    </xf>
    <xf numFmtId="0" fontId="4" fillId="0" borderId="12" xfId="0" applyFont="1" applyBorder="1" applyAlignment="1">
      <alignment horizontal="right" vertical="center"/>
    </xf>
    <xf numFmtId="0" fontId="9" fillId="0" borderId="27" xfId="0" applyFont="1" applyBorder="1"/>
    <xf numFmtId="0" fontId="9" fillId="0" borderId="25" xfId="0" applyFont="1" applyBorder="1"/>
    <xf numFmtId="0" fontId="9" fillId="6" borderId="14" xfId="0" applyFont="1" applyFill="1" applyBorder="1"/>
    <xf numFmtId="0" fontId="9" fillId="0" borderId="15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0" xfId="0" applyBorder="1" applyAlignment="1">
      <alignment horizontal="center"/>
    </xf>
    <xf numFmtId="0" fontId="9" fillId="0" borderId="6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63" xfId="0" applyFont="1" applyBorder="1" applyAlignment="1">
      <alignment horizontal="left"/>
    </xf>
    <xf numFmtId="0" fontId="9" fillId="0" borderId="55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9" fillId="0" borderId="14" xfId="0" applyFont="1" applyBorder="1" applyAlignment="1">
      <alignment horizontal="left"/>
    </xf>
    <xf numFmtId="0" fontId="9" fillId="0" borderId="0" xfId="0" applyFont="1"/>
    <xf numFmtId="0" fontId="25" fillId="0" borderId="25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50" xfId="0" applyFont="1" applyBorder="1"/>
    <xf numFmtId="0" fontId="9" fillId="0" borderId="64" xfId="0" applyFont="1" applyBorder="1"/>
    <xf numFmtId="0" fontId="9" fillId="0" borderId="10" xfId="0" applyFont="1" applyBorder="1"/>
    <xf numFmtId="0" fontId="9" fillId="0" borderId="14" xfId="0" applyFont="1" applyBorder="1" applyAlignment="1">
      <alignment horizontal="center"/>
    </xf>
    <xf numFmtId="0" fontId="0" fillId="0" borderId="14" xfId="0" applyBorder="1"/>
    <xf numFmtId="0" fontId="21" fillId="0" borderId="18" xfId="0" applyFont="1" applyBorder="1"/>
    <xf numFmtId="0" fontId="21" fillId="0" borderId="1" xfId="0" applyFont="1" applyBorder="1"/>
    <xf numFmtId="0" fontId="20" fillId="0" borderId="19" xfId="0" applyFont="1" applyBorder="1"/>
    <xf numFmtId="165" fontId="20" fillId="0" borderId="1" xfId="2" applyFont="1" applyBorder="1"/>
    <xf numFmtId="165" fontId="20" fillId="0" borderId="19" xfId="2" applyFont="1" applyBorder="1"/>
    <xf numFmtId="0" fontId="20" fillId="0" borderId="66" xfId="0" applyFont="1" applyBorder="1"/>
    <xf numFmtId="0" fontId="21" fillId="0" borderId="20" xfId="0" applyFont="1" applyBorder="1"/>
    <xf numFmtId="165" fontId="20" fillId="0" borderId="33" xfId="2" applyFont="1" applyBorder="1"/>
    <xf numFmtId="0" fontId="21" fillId="0" borderId="33" xfId="0" applyFont="1" applyBorder="1"/>
    <xf numFmtId="165" fontId="20" fillId="0" borderId="21" xfId="2" applyFont="1" applyBorder="1"/>
    <xf numFmtId="10" fontId="0" fillId="0" borderId="1" xfId="1" applyNumberFormat="1" applyFont="1" applyBorder="1"/>
    <xf numFmtId="0" fontId="0" fillId="7" borderId="1" xfId="0" applyFill="1" applyBorder="1" applyAlignment="1">
      <alignment horizontal="center"/>
    </xf>
    <xf numFmtId="9" fontId="0" fillId="0" borderId="0" xfId="1" applyFont="1"/>
    <xf numFmtId="1" fontId="0" fillId="0" borderId="0" xfId="1" applyNumberFormat="1" applyFont="1"/>
    <xf numFmtId="0" fontId="22" fillId="0" borderId="28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10" fontId="0" fillId="6" borderId="0" xfId="0" applyNumberFormat="1" applyFill="1"/>
    <xf numFmtId="165" fontId="0" fillId="6" borderId="0" xfId="2" applyFont="1" applyFill="1" applyBorder="1" applyAlignment="1">
      <alignment horizontal="center"/>
    </xf>
    <xf numFmtId="165" fontId="0" fillId="6" borderId="0" xfId="0" applyNumberFormat="1" applyFill="1"/>
    <xf numFmtId="2" fontId="0" fillId="6" borderId="0" xfId="0" applyNumberFormat="1" applyFill="1"/>
    <xf numFmtId="165" fontId="0" fillId="6" borderId="0" xfId="2" applyFont="1" applyFill="1" applyBorder="1"/>
    <xf numFmtId="0" fontId="9" fillId="7" borderId="1" xfId="0" applyFont="1" applyFill="1" applyBorder="1"/>
    <xf numFmtId="0" fontId="9" fillId="2" borderId="1" xfId="0" applyFont="1" applyFill="1" applyBorder="1"/>
    <xf numFmtId="0" fontId="9" fillId="9" borderId="1" xfId="0" applyFont="1" applyFill="1" applyBorder="1"/>
    <xf numFmtId="10" fontId="9" fillId="0" borderId="1" xfId="0" applyNumberFormat="1" applyFont="1" applyBorder="1"/>
    <xf numFmtId="165" fontId="9" fillId="9" borderId="1" xfId="2" applyFont="1" applyFill="1" applyBorder="1" applyAlignment="1">
      <alignment horizontal="center"/>
    </xf>
    <xf numFmtId="165" fontId="9" fillId="2" borderId="1" xfId="2" applyFont="1" applyFill="1" applyBorder="1" applyAlignment="1">
      <alignment horizontal="center"/>
    </xf>
    <xf numFmtId="165" fontId="9" fillId="7" borderId="1" xfId="0" applyNumberFormat="1" applyFont="1" applyFill="1" applyBorder="1"/>
    <xf numFmtId="0" fontId="9" fillId="0" borderId="1" xfId="0" applyFont="1" applyBorder="1" applyAlignment="1">
      <alignment wrapText="1"/>
    </xf>
    <xf numFmtId="165" fontId="9" fillId="0" borderId="1" xfId="2" applyFont="1" applyBorder="1" applyAlignment="1">
      <alignment horizontal="right" vertical="center"/>
    </xf>
    <xf numFmtId="165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 wrapText="1"/>
    </xf>
    <xf numFmtId="0" fontId="9" fillId="6" borderId="1" xfId="0" applyFont="1" applyFill="1" applyBorder="1" applyAlignment="1">
      <alignment horizontal="center"/>
    </xf>
    <xf numFmtId="2" fontId="9" fillId="0" borderId="1" xfId="0" applyNumberFormat="1" applyFont="1" applyBorder="1"/>
    <xf numFmtId="9" fontId="10" fillId="0" borderId="39" xfId="0" applyNumberFormat="1" applyFont="1" applyBorder="1"/>
    <xf numFmtId="9" fontId="9" fillId="6" borderId="0" xfId="0" applyNumberFormat="1" applyFont="1" applyFill="1" applyAlignment="1">
      <alignment horizontal="center" wrapText="1"/>
    </xf>
    <xf numFmtId="0" fontId="9" fillId="6" borderId="0" xfId="0" applyFont="1" applyFill="1" applyAlignment="1">
      <alignment horizontal="center"/>
    </xf>
    <xf numFmtId="165" fontId="9" fillId="6" borderId="0" xfId="2" applyFont="1" applyFill="1" applyBorder="1" applyAlignment="1">
      <alignment horizontal="center"/>
    </xf>
    <xf numFmtId="0" fontId="9" fillId="6" borderId="0" xfId="0" applyFont="1" applyFill="1"/>
    <xf numFmtId="9" fontId="10" fillId="0" borderId="0" xfId="0" applyNumberFormat="1" applyFont="1"/>
    <xf numFmtId="165" fontId="9" fillId="0" borderId="0" xfId="0" applyNumberFormat="1" applyFont="1"/>
    <xf numFmtId="2" fontId="9" fillId="0" borderId="0" xfId="0" applyNumberFormat="1" applyFont="1"/>
    <xf numFmtId="165" fontId="9" fillId="0" borderId="0" xfId="2" applyFont="1" applyBorder="1"/>
    <xf numFmtId="10" fontId="9" fillId="6" borderId="0" xfId="0" applyNumberFormat="1" applyFont="1" applyFill="1"/>
    <xf numFmtId="0" fontId="9" fillId="6" borderId="0" xfId="0" applyFont="1" applyFill="1" applyAlignment="1">
      <alignment wrapText="1"/>
    </xf>
    <xf numFmtId="165" fontId="9" fillId="6" borderId="0" xfId="0" applyNumberFormat="1" applyFont="1" applyFill="1"/>
    <xf numFmtId="0" fontId="9" fillId="0" borderId="1" xfId="2" applyNumberFormat="1" applyFont="1" applyBorder="1"/>
    <xf numFmtId="10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44" fontId="0" fillId="0" borderId="0" xfId="0" applyNumberFormat="1"/>
    <xf numFmtId="165" fontId="10" fillId="0" borderId="1" xfId="2" applyFont="1" applyBorder="1"/>
    <xf numFmtId="0" fontId="0" fillId="0" borderId="29" xfId="0" applyBorder="1"/>
    <xf numFmtId="0" fontId="0" fillId="0" borderId="31" xfId="0" applyBorder="1"/>
    <xf numFmtId="10" fontId="0" fillId="0" borderId="19" xfId="1" applyNumberFormat="1" applyFont="1" applyBorder="1"/>
    <xf numFmtId="165" fontId="0" fillId="0" borderId="19" xfId="0" applyNumberFormat="1" applyBorder="1"/>
    <xf numFmtId="10" fontId="0" fillId="0" borderId="19" xfId="0" applyNumberFormat="1" applyBorder="1"/>
    <xf numFmtId="0" fontId="0" fillId="0" borderId="20" xfId="0" applyBorder="1"/>
    <xf numFmtId="10" fontId="0" fillId="0" borderId="21" xfId="0" applyNumberFormat="1" applyBorder="1"/>
    <xf numFmtId="171" fontId="0" fillId="0" borderId="0" xfId="1" applyNumberFormat="1" applyFont="1"/>
    <xf numFmtId="10" fontId="9" fillId="0" borderId="1" xfId="0" applyNumberFormat="1" applyFont="1" applyBorder="1" applyAlignment="1">
      <alignment horizontal="center"/>
    </xf>
    <xf numFmtId="0" fontId="9" fillId="2" borderId="1" xfId="2" applyNumberFormat="1" applyFont="1" applyFill="1" applyBorder="1" applyAlignment="1">
      <alignment horizontal="center"/>
    </xf>
    <xf numFmtId="44" fontId="9" fillId="2" borderId="1" xfId="2" applyNumberFormat="1" applyFont="1" applyFill="1" applyBorder="1" applyAlignment="1">
      <alignment horizontal="center"/>
    </xf>
    <xf numFmtId="9" fontId="9" fillId="7" borderId="1" xfId="0" applyNumberFormat="1" applyFont="1" applyFill="1" applyBorder="1" applyAlignment="1">
      <alignment horizontal="center" wrapText="1"/>
    </xf>
    <xf numFmtId="165" fontId="9" fillId="9" borderId="1" xfId="2" applyFont="1" applyFill="1" applyBorder="1"/>
    <xf numFmtId="165" fontId="9" fillId="7" borderId="1" xfId="2" applyFont="1" applyFill="1" applyBorder="1"/>
    <xf numFmtId="10" fontId="9" fillId="6" borderId="1" xfId="0" applyNumberFormat="1" applyFont="1" applyFill="1" applyBorder="1"/>
    <xf numFmtId="0" fontId="9" fillId="6" borderId="7" xfId="0" applyFont="1" applyFill="1" applyBorder="1" applyAlignment="1">
      <alignment wrapText="1"/>
    </xf>
    <xf numFmtId="2" fontId="9" fillId="6" borderId="0" xfId="0" applyNumberFormat="1" applyFont="1" applyFill="1"/>
    <xf numFmtId="165" fontId="9" fillId="6" borderId="0" xfId="2" applyFont="1" applyFill="1" applyBorder="1"/>
    <xf numFmtId="0" fontId="9" fillId="6" borderId="0" xfId="2" applyNumberFormat="1" applyFont="1" applyFill="1" applyBorder="1"/>
    <xf numFmtId="0" fontId="7" fillId="6" borderId="11" xfId="0" applyFont="1" applyFill="1" applyBorder="1" applyAlignment="1">
      <alignment horizontal="center" vertical="center"/>
    </xf>
    <xf numFmtId="165" fontId="7" fillId="6" borderId="12" xfId="0" applyNumberFormat="1" applyFont="1" applyFill="1" applyBorder="1" applyAlignment="1">
      <alignment horizontal="center" vertical="center"/>
    </xf>
    <xf numFmtId="170" fontId="0" fillId="2" borderId="0" xfId="1" applyNumberFormat="1" applyFont="1" applyFill="1"/>
    <xf numFmtId="170" fontId="0" fillId="0" borderId="19" xfId="0" applyNumberFormat="1" applyBorder="1"/>
    <xf numFmtId="165" fontId="0" fillId="0" borderId="0" xfId="2" applyFont="1"/>
    <xf numFmtId="0" fontId="20" fillId="0" borderId="31" xfId="0" applyFont="1" applyBorder="1" applyAlignment="1">
      <alignment horizontal="center" wrapText="1"/>
    </xf>
    <xf numFmtId="0" fontId="20" fillId="0" borderId="18" xfId="0" applyFont="1" applyBorder="1" applyAlignment="1">
      <alignment wrapText="1"/>
    </xf>
    <xf numFmtId="8" fontId="7" fillId="0" borderId="19" xfId="0" applyNumberFormat="1" applyFont="1" applyBorder="1" applyAlignment="1">
      <alignment horizontal="center" wrapText="1"/>
    </xf>
    <xf numFmtId="10" fontId="7" fillId="0" borderId="19" xfId="0" applyNumberFormat="1" applyFont="1" applyBorder="1" applyAlignment="1">
      <alignment horizontal="center" wrapText="1"/>
    </xf>
    <xf numFmtId="0" fontId="5" fillId="0" borderId="18" xfId="0" applyFont="1" applyBorder="1" applyAlignment="1">
      <alignment horizontal="left" vertical="center" wrapText="1"/>
    </xf>
    <xf numFmtId="175" fontId="7" fillId="0" borderId="19" xfId="0" applyNumberFormat="1" applyFont="1" applyBorder="1" applyAlignment="1">
      <alignment horizontal="center" wrapText="1"/>
    </xf>
    <xf numFmtId="0" fontId="20" fillId="0" borderId="20" xfId="0" applyFont="1" applyBorder="1" applyAlignment="1">
      <alignment wrapText="1"/>
    </xf>
    <xf numFmtId="0" fontId="7" fillId="0" borderId="21" xfId="0" applyFont="1" applyBorder="1" applyAlignment="1">
      <alignment horizontal="center" wrapText="1"/>
    </xf>
    <xf numFmtId="0" fontId="20" fillId="0" borderId="19" xfId="0" applyFont="1" applyBorder="1" applyAlignment="1">
      <alignment horizontal="center"/>
    </xf>
    <xf numFmtId="10" fontId="9" fillId="0" borderId="0" xfId="0" applyNumberFormat="1" applyFont="1"/>
    <xf numFmtId="0" fontId="9" fillId="0" borderId="7" xfId="0" applyFont="1" applyBorder="1"/>
    <xf numFmtId="165" fontId="9" fillId="0" borderId="7" xfId="0" applyNumberFormat="1" applyFont="1" applyBorder="1"/>
    <xf numFmtId="0" fontId="9" fillId="0" borderId="37" xfId="0" applyFont="1" applyBorder="1"/>
    <xf numFmtId="164" fontId="9" fillId="0" borderId="37" xfId="0" applyNumberFormat="1" applyFont="1" applyBorder="1"/>
    <xf numFmtId="0" fontId="26" fillId="0" borderId="1" xfId="0" applyFont="1" applyBorder="1"/>
    <xf numFmtId="165" fontId="26" fillId="0" borderId="1" xfId="0" applyNumberFormat="1" applyFont="1" applyBorder="1"/>
    <xf numFmtId="164" fontId="26" fillId="0" borderId="1" xfId="0" applyNumberFormat="1" applyFont="1" applyBorder="1"/>
    <xf numFmtId="165" fontId="26" fillId="0" borderId="7" xfId="0" applyNumberFormat="1" applyFont="1" applyBorder="1"/>
    <xf numFmtId="165" fontId="9" fillId="0" borderId="10" xfId="0" applyNumberFormat="1" applyFont="1" applyBorder="1"/>
    <xf numFmtId="165" fontId="26" fillId="0" borderId="37" xfId="0" applyNumberFormat="1" applyFont="1" applyBorder="1"/>
    <xf numFmtId="0" fontId="9" fillId="0" borderId="16" xfId="0" applyFont="1" applyBorder="1"/>
    <xf numFmtId="0" fontId="9" fillId="0" borderId="32" xfId="0" applyFont="1" applyBorder="1"/>
    <xf numFmtId="165" fontId="9" fillId="0" borderId="32" xfId="0" applyNumberFormat="1" applyFont="1" applyBorder="1"/>
    <xf numFmtId="165" fontId="9" fillId="0" borderId="17" xfId="0" applyNumberFormat="1" applyFont="1" applyBorder="1"/>
    <xf numFmtId="165" fontId="10" fillId="0" borderId="32" xfId="0" applyNumberFormat="1" applyFont="1" applyBorder="1"/>
    <xf numFmtId="165" fontId="10" fillId="0" borderId="17" xfId="0" applyNumberFormat="1" applyFont="1" applyBorder="1"/>
    <xf numFmtId="165" fontId="27" fillId="0" borderId="32" xfId="0" applyNumberFormat="1" applyFont="1" applyBorder="1"/>
    <xf numFmtId="165" fontId="7" fillId="0" borderId="0" xfId="0" applyNumberFormat="1" applyFont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left" vertical="center" wrapText="1"/>
    </xf>
    <xf numFmtId="0" fontId="0" fillId="6" borderId="8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5" xfId="0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4" borderId="7" xfId="0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5" xfId="0" applyBorder="1" applyAlignment="1">
      <alignment horizontal="right"/>
    </xf>
    <xf numFmtId="0" fontId="1" fillId="0" borderId="7" xfId="0" applyFont="1" applyBorder="1" applyAlignment="1">
      <alignment horizontal="left" wrapText="1"/>
    </xf>
    <xf numFmtId="0" fontId="1" fillId="0" borderId="37" xfId="0" applyFont="1" applyBorder="1" applyAlignment="1">
      <alignment horizontal="left" wrapText="1"/>
    </xf>
    <xf numFmtId="0" fontId="1" fillId="6" borderId="7" xfId="0" applyFont="1" applyFill="1" applyBorder="1" applyAlignment="1">
      <alignment horizontal="left" wrapText="1"/>
    </xf>
    <xf numFmtId="0" fontId="1" fillId="6" borderId="37" xfId="0" applyFont="1" applyFill="1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37" xfId="0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37" xfId="0" applyFont="1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2" borderId="7" xfId="0" applyFont="1" applyFill="1" applyBorder="1" applyAlignment="1">
      <alignment horizontal="left" wrapText="1"/>
    </xf>
    <xf numFmtId="0" fontId="1" fillId="2" borderId="37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10" fontId="20" fillId="0" borderId="28" xfId="0" applyNumberFormat="1" applyFont="1" applyBorder="1" applyAlignment="1">
      <alignment horizontal="center" vertical="center" wrapText="1"/>
    </xf>
    <xf numFmtId="10" fontId="20" fillId="0" borderId="11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0" fontId="9" fillId="0" borderId="28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4" fontId="20" fillId="0" borderId="28" xfId="0" applyNumberFormat="1" applyFont="1" applyBorder="1" applyAlignment="1">
      <alignment horizontal="center" vertical="center" wrapText="1"/>
    </xf>
    <xf numFmtId="4" fontId="20" fillId="0" borderId="11" xfId="0" applyNumberFormat="1" applyFont="1" applyBorder="1" applyAlignment="1">
      <alignment horizontal="center" vertical="center" wrapText="1"/>
    </xf>
    <xf numFmtId="4" fontId="7" fillId="0" borderId="28" xfId="0" applyNumberFormat="1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1" fillId="8" borderId="9" xfId="0" applyFont="1" applyFill="1" applyBorder="1" applyAlignment="1">
      <alignment horizontal="center" vertical="center"/>
    </xf>
    <xf numFmtId="0" fontId="21" fillId="8" borderId="15" xfId="0" applyFont="1" applyFill="1" applyBorder="1" applyAlignment="1">
      <alignment horizontal="center" vertical="center"/>
    </xf>
    <xf numFmtId="0" fontId="21" fillId="8" borderId="56" xfId="0" applyFont="1" applyFill="1" applyBorder="1" applyAlignment="1">
      <alignment horizontal="center" vertical="center"/>
    </xf>
    <xf numFmtId="0" fontId="9" fillId="0" borderId="55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10" fillId="0" borderId="29" xfId="0" applyFont="1" applyBorder="1" applyAlignment="1"/>
    <xf numFmtId="0" fontId="10" fillId="0" borderId="31" xfId="0" applyFont="1" applyBorder="1" applyAlignment="1"/>
    <xf numFmtId="0" fontId="10" fillId="0" borderId="45" xfId="0" applyFont="1" applyBorder="1" applyAlignment="1">
      <alignment horizontal="center" wrapText="1"/>
    </xf>
    <xf numFmtId="0" fontId="10" fillId="0" borderId="54" xfId="0" applyFont="1" applyBorder="1" applyAlignment="1">
      <alignment horizontal="center" wrapText="1"/>
    </xf>
    <xf numFmtId="0" fontId="15" fillId="6" borderId="9" xfId="3" applyFont="1" applyFill="1" applyBorder="1" applyAlignment="1">
      <alignment horizontal="center"/>
    </xf>
    <xf numFmtId="0" fontId="15" fillId="6" borderId="15" xfId="3" applyFont="1" applyFill="1" applyBorder="1" applyAlignment="1">
      <alignment horizontal="center"/>
    </xf>
    <xf numFmtId="0" fontId="15" fillId="6" borderId="10" xfId="3" applyFont="1" applyFill="1" applyBorder="1" applyAlignment="1">
      <alignment horizontal="center"/>
    </xf>
    <xf numFmtId="0" fontId="22" fillId="0" borderId="28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9" fillId="6" borderId="0" xfId="0" applyFont="1" applyFill="1" applyAlignment="1">
      <alignment horizontal="center" wrapText="1"/>
    </xf>
    <xf numFmtId="0" fontId="9" fillId="6" borderId="0" xfId="0" applyFont="1" applyFill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wrapText="1"/>
    </xf>
    <xf numFmtId="0" fontId="20" fillId="0" borderId="41" xfId="0" applyFont="1" applyBorder="1" applyAlignment="1">
      <alignment horizontal="center" wrapText="1"/>
    </xf>
    <xf numFmtId="0" fontId="20" fillId="0" borderId="65" xfId="0" applyFont="1" applyBorder="1" applyAlignment="1">
      <alignment horizontal="center" wrapText="1"/>
    </xf>
    <xf numFmtId="0" fontId="20" fillId="0" borderId="49" xfId="0" applyFont="1" applyBorder="1" applyAlignment="1">
      <alignment horizontal="center" wrapText="1"/>
    </xf>
    <xf numFmtId="0" fontId="21" fillId="0" borderId="2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50" xfId="0" applyFont="1" applyBorder="1" applyAlignment="1">
      <alignment horizontal="center"/>
    </xf>
  </cellXfs>
  <cellStyles count="11">
    <cellStyle name="Millares 2" xfId="4" xr:uid="{00000000-0005-0000-0000-000000000000}"/>
    <cellStyle name="Moneda" xfId="2" builtinId="4"/>
    <cellStyle name="Moneda 2" xfId="5" xr:uid="{00000000-0005-0000-0000-000002000000}"/>
    <cellStyle name="Normal" xfId="0" builtinId="0"/>
    <cellStyle name="Normal 2" xfId="3" xr:uid="{00000000-0005-0000-0000-000004000000}"/>
    <cellStyle name="Normal 3" xfId="6" xr:uid="{00000000-0005-0000-0000-000005000000}"/>
    <cellStyle name="Normal 4" xfId="7" xr:uid="{00000000-0005-0000-0000-000006000000}"/>
    <cellStyle name="Normal_COS-AGU" xfId="8" xr:uid="{00000000-0005-0000-0000-000007000000}"/>
    <cellStyle name="Normal_COST" xfId="9" xr:uid="{00000000-0005-0000-0000-000008000000}"/>
    <cellStyle name="Porcentaje" xfId="1" builtinId="5"/>
    <cellStyle name="Porcentaje 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'Preg Cant'!$E$3:$AA$3</c:f>
              <c:strCache>
                <c:ptCount val="18"/>
                <c:pt idx="0">
                  <c:v>O</c:v>
                </c:pt>
                <c:pt idx="5">
                  <c:v>CO2</c:v>
                </c:pt>
                <c:pt idx="8">
                  <c:v>N</c:v>
                </c:pt>
                <c:pt idx="11">
                  <c:v>NO</c:v>
                </c:pt>
                <c:pt idx="14">
                  <c:v>AIRE</c:v>
                </c:pt>
                <c:pt idx="17">
                  <c:v>otro</c:v>
                </c:pt>
              </c:strCache>
            </c:strRef>
          </c:cat>
          <c:val>
            <c:numRef>
              <c:f>'Preg Cant'!$E$32:$AA$32</c:f>
              <c:numCache>
                <c:formatCode>General</c:formatCode>
                <c:ptCount val="20"/>
                <c:pt idx="0">
                  <c:v>1900</c:v>
                </c:pt>
                <c:pt idx="5">
                  <c:v>190</c:v>
                </c:pt>
                <c:pt idx="8">
                  <c:v>50</c:v>
                </c:pt>
                <c:pt idx="11">
                  <c:v>70</c:v>
                </c:pt>
                <c:pt idx="14">
                  <c:v>900</c:v>
                </c:pt>
                <c:pt idx="1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4-4427-AA76-51DA724E4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0572712"/>
        <c:axId val="382165600"/>
        <c:axId val="330589728"/>
      </c:bar3DChart>
      <c:catAx>
        <c:axId val="330572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82165600"/>
        <c:crosses val="autoZero"/>
        <c:auto val="1"/>
        <c:lblAlgn val="ctr"/>
        <c:lblOffset val="100"/>
        <c:noMultiLvlLbl val="0"/>
      </c:catAx>
      <c:valAx>
        <c:axId val="38216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30572712"/>
        <c:crosses val="autoZero"/>
        <c:crossBetween val="between"/>
      </c:valAx>
      <c:serAx>
        <c:axId val="330589728"/>
        <c:scaling>
          <c:orientation val="minMax"/>
        </c:scaling>
        <c:delete val="1"/>
        <c:axPos val="b"/>
        <c:majorTickMark val="none"/>
        <c:minorTickMark val="none"/>
        <c:tickLblPos val="nextTo"/>
        <c:crossAx val="382165600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COSTO FIJO</c:v>
          </c:tx>
          <c:xVal>
            <c:numRef>
              <c:f>PE!$U$23:$U$29</c:f>
              <c:numCache>
                <c:formatCode>General</c:formatCode>
                <c:ptCount val="7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534.75911760303484</c:v>
                </c:pt>
                <c:pt idx="4" formatCode="0.00">
                  <c:v>600</c:v>
                </c:pt>
                <c:pt idx="5">
                  <c:v>800</c:v>
                </c:pt>
                <c:pt idx="6">
                  <c:v>1000</c:v>
                </c:pt>
              </c:numCache>
            </c:numRef>
          </c:xVal>
          <c:yVal>
            <c:numRef>
              <c:f>PE!$W$23:$W$29</c:f>
              <c:numCache>
                <c:formatCode>_("$"\ * #,##0.00_);_("$"\ * \(#,##0.00\);_("$"\ * "-"??_);_(@_)</c:formatCode>
                <c:ptCount val="7"/>
                <c:pt idx="0">
                  <c:v>1363.9608727767427</c:v>
                </c:pt>
                <c:pt idx="1">
                  <c:v>1363.9608727767427</c:v>
                </c:pt>
                <c:pt idx="2">
                  <c:v>1363.9608727767427</c:v>
                </c:pt>
                <c:pt idx="3">
                  <c:v>1363.9608727767427</c:v>
                </c:pt>
                <c:pt idx="4">
                  <c:v>1363.9608727767427</c:v>
                </c:pt>
                <c:pt idx="5">
                  <c:v>1363.9608727767427</c:v>
                </c:pt>
                <c:pt idx="6">
                  <c:v>1363.9608727767427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7A-42EA-898B-71474D957FF8}"/>
            </c:ext>
          </c:extLst>
        </c:ser>
        <c:ser>
          <c:idx val="1"/>
          <c:order val="1"/>
          <c:tx>
            <c:v>COSTO TOTAL</c:v>
          </c:tx>
          <c:xVal>
            <c:numRef>
              <c:f>PE!$U$23:$U$29</c:f>
              <c:numCache>
                <c:formatCode>General</c:formatCode>
                <c:ptCount val="7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534.75911760303484</c:v>
                </c:pt>
                <c:pt idx="4" formatCode="0.00">
                  <c:v>600</c:v>
                </c:pt>
                <c:pt idx="5">
                  <c:v>800</c:v>
                </c:pt>
                <c:pt idx="6">
                  <c:v>1000</c:v>
                </c:pt>
              </c:numCache>
            </c:numRef>
          </c:xVal>
          <c:yVal>
            <c:numRef>
              <c:f>PE!$Z$23:$Z$29</c:f>
              <c:numCache>
                <c:formatCode>_("$"\ * #,##0.00_);_("$"\ * \(#,##0.00\);_("$"\ * "-"??_);_(@_)</c:formatCode>
                <c:ptCount val="7"/>
                <c:pt idx="0">
                  <c:v>1363.9608727767427</c:v>
                </c:pt>
                <c:pt idx="1">
                  <c:v>1653.8392767615271</c:v>
                </c:pt>
                <c:pt idx="2">
                  <c:v>1943.7176807463115</c:v>
                </c:pt>
                <c:pt idx="3">
                  <c:v>2139.0364704121394</c:v>
                </c:pt>
                <c:pt idx="4">
                  <c:v>2233.5960847310957</c:v>
                </c:pt>
                <c:pt idx="5">
                  <c:v>2523.4744887158804</c:v>
                </c:pt>
                <c:pt idx="6">
                  <c:v>2813.3528927006646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27A-42EA-898B-71474D957FF8}"/>
            </c:ext>
          </c:extLst>
        </c:ser>
        <c:ser>
          <c:idx val="2"/>
          <c:order val="2"/>
          <c:tx>
            <c:v>INGRESO</c:v>
          </c:tx>
          <c:xVal>
            <c:numRef>
              <c:f>PE!$U$23:$U$29</c:f>
              <c:numCache>
                <c:formatCode>General</c:formatCode>
                <c:ptCount val="7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534.75911760303484</c:v>
                </c:pt>
                <c:pt idx="4" formatCode="0.00">
                  <c:v>600</c:v>
                </c:pt>
                <c:pt idx="5">
                  <c:v>800</c:v>
                </c:pt>
                <c:pt idx="6">
                  <c:v>1000</c:v>
                </c:pt>
              </c:numCache>
            </c:numRef>
          </c:xVal>
          <c:yVal>
            <c:numRef>
              <c:f>PE!$V$23:$V$29</c:f>
              <c:numCache>
                <c:formatCode>_("$"\ * #,##0.00_);_("$"\ * \(#,##0.00\);_("$"\ * "-"??_);_(@_)</c:formatCode>
                <c:ptCount val="7"/>
                <c:pt idx="0">
                  <c:v>0</c:v>
                </c:pt>
                <c:pt idx="1">
                  <c:v>800</c:v>
                </c:pt>
                <c:pt idx="2">
                  <c:v>1600</c:v>
                </c:pt>
                <c:pt idx="3">
                  <c:v>2139.0364704121394</c:v>
                </c:pt>
                <c:pt idx="4">
                  <c:v>2400</c:v>
                </c:pt>
                <c:pt idx="5">
                  <c:v>3200</c:v>
                </c:pt>
                <c:pt idx="6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27A-42EA-898B-71474D957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162464"/>
        <c:axId val="382160896"/>
      </c:scatterChart>
      <c:valAx>
        <c:axId val="38216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2160896"/>
        <c:crosses val="autoZero"/>
        <c:crossBetween val="midCat"/>
      </c:valAx>
      <c:valAx>
        <c:axId val="382160896"/>
        <c:scaling>
          <c:orientation val="minMax"/>
        </c:scaling>
        <c:delete val="0"/>
        <c:axPos val="l"/>
        <c:majorGridlines/>
        <c:numFmt formatCode="_(&quot;$&quot;\ * #,##0.00_);_(&quot;$&quot;\ * \(#,##0.00\);_(&quot;$&quot;\ * &quot;-&quot;??_);_(@_)" sourceLinked="1"/>
        <c:majorTickMark val="out"/>
        <c:minorTickMark val="none"/>
        <c:tickLblPos val="nextTo"/>
        <c:crossAx val="3821624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COSTO FIJO</c:v>
          </c:tx>
          <c:xVal>
            <c:numRef>
              <c:f>PE!$AC$23:$AC$29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 formatCode="0.00">
                  <c:v>36.550315456251575</c:v>
                </c:pt>
                <c:pt idx="4" formatCode="0.00">
                  <c:v>60</c:v>
                </c:pt>
                <c:pt idx="5">
                  <c:v>80</c:v>
                </c:pt>
                <c:pt idx="6">
                  <c:v>100</c:v>
                </c:pt>
              </c:numCache>
            </c:numRef>
          </c:xVal>
          <c:yVal>
            <c:numRef>
              <c:f>PE!$AE$23:$AE$29</c:f>
              <c:numCache>
                <c:formatCode>_("$"\ * #,##0.00_);_("$"\ * \(#,##0.00\);_("$"\ * "-"??_);_(@_)</c:formatCode>
                <c:ptCount val="7"/>
                <c:pt idx="0">
                  <c:v>422.17836538327748</c:v>
                </c:pt>
                <c:pt idx="1">
                  <c:v>422.17836538327748</c:v>
                </c:pt>
                <c:pt idx="2">
                  <c:v>422.17836538327748</c:v>
                </c:pt>
                <c:pt idx="3">
                  <c:v>422.17836538327748</c:v>
                </c:pt>
                <c:pt idx="4">
                  <c:v>422.17836538327748</c:v>
                </c:pt>
                <c:pt idx="5">
                  <c:v>422.17836538327748</c:v>
                </c:pt>
                <c:pt idx="6">
                  <c:v>422.17836538327748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68-48C4-9895-52CC548236FE}"/>
            </c:ext>
          </c:extLst>
        </c:ser>
        <c:ser>
          <c:idx val="1"/>
          <c:order val="1"/>
          <c:tx>
            <c:v>COSTO TOTAL</c:v>
          </c:tx>
          <c:xVal>
            <c:numRef>
              <c:f>PE!$AC$23:$AC$29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 formatCode="0.00">
                  <c:v>36.550315456251575</c:v>
                </c:pt>
                <c:pt idx="4" formatCode="0.00">
                  <c:v>60</c:v>
                </c:pt>
                <c:pt idx="5">
                  <c:v>80</c:v>
                </c:pt>
                <c:pt idx="6">
                  <c:v>100</c:v>
                </c:pt>
              </c:numCache>
            </c:numRef>
          </c:xVal>
          <c:yVal>
            <c:numRef>
              <c:f>PE!$AH$23:$AH$29</c:f>
              <c:numCache>
                <c:formatCode>_("$"\ * #,##0.00_);_("$"\ * \(#,##0.00\);_("$"\ * "-"??_);_(@_)</c:formatCode>
                <c:ptCount val="7"/>
                <c:pt idx="0">
                  <c:v>422.17836538327748</c:v>
                </c:pt>
                <c:pt idx="1">
                  <c:v>436.67228558251668</c:v>
                </c:pt>
                <c:pt idx="2">
                  <c:v>451.16620578175593</c:v>
                </c:pt>
                <c:pt idx="3">
                  <c:v>475.15410093127048</c:v>
                </c:pt>
                <c:pt idx="4">
                  <c:v>509.14188657871279</c:v>
                </c:pt>
                <c:pt idx="5">
                  <c:v>538.12972697719124</c:v>
                </c:pt>
                <c:pt idx="6">
                  <c:v>567.11756737566964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968-48C4-9895-52CC548236FE}"/>
            </c:ext>
          </c:extLst>
        </c:ser>
        <c:ser>
          <c:idx val="2"/>
          <c:order val="2"/>
          <c:tx>
            <c:v>INGRESO</c:v>
          </c:tx>
          <c:xVal>
            <c:numRef>
              <c:f>PE!$AC$23:$AC$29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 formatCode="0.00">
                  <c:v>36.550315456251575</c:v>
                </c:pt>
                <c:pt idx="4" formatCode="0.00">
                  <c:v>60</c:v>
                </c:pt>
                <c:pt idx="5">
                  <c:v>80</c:v>
                </c:pt>
                <c:pt idx="6">
                  <c:v>100</c:v>
                </c:pt>
              </c:numCache>
            </c:numRef>
          </c:xVal>
          <c:yVal>
            <c:numRef>
              <c:f>PE!$AD$23:$AD$29</c:f>
              <c:numCache>
                <c:formatCode>_("$"\ * #,##0.00_);_("$"\ * \(#,##0.00\);_("$"\ * "-"??_);_(@_)</c:formatCode>
                <c:ptCount val="7"/>
                <c:pt idx="0">
                  <c:v>0</c:v>
                </c:pt>
                <c:pt idx="1">
                  <c:v>130</c:v>
                </c:pt>
                <c:pt idx="2">
                  <c:v>260</c:v>
                </c:pt>
                <c:pt idx="3">
                  <c:v>475.15410093127048</c:v>
                </c:pt>
                <c:pt idx="4">
                  <c:v>780</c:v>
                </c:pt>
                <c:pt idx="5">
                  <c:v>1040</c:v>
                </c:pt>
                <c:pt idx="6">
                  <c:v>1300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968-48C4-9895-52CC54823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164424"/>
        <c:axId val="382161680"/>
      </c:scatterChart>
      <c:valAx>
        <c:axId val="382164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2161680"/>
        <c:crosses val="autoZero"/>
        <c:crossBetween val="midCat"/>
      </c:valAx>
      <c:valAx>
        <c:axId val="382161680"/>
        <c:scaling>
          <c:orientation val="minMax"/>
        </c:scaling>
        <c:delete val="0"/>
        <c:axPos val="l"/>
        <c:majorGridlines/>
        <c:numFmt formatCode="_(&quot;$&quot;\ * #,##0.00_);_(&quot;$&quot;\ * \(#,##0.00\);_(&quot;$&quot;\ * &quot;-&quot;??_);_(@_)" sourceLinked="1"/>
        <c:majorTickMark val="out"/>
        <c:minorTickMark val="none"/>
        <c:tickLblPos val="nextTo"/>
        <c:crossAx val="3821644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COSTOS FIJOS</c:v>
          </c:tx>
          <c:xVal>
            <c:numRef>
              <c:f>PE!$AK$23:$AK$29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 formatCode="0.00">
                  <c:v>27.982444710577493</c:v>
                </c:pt>
                <c:pt idx="4" formatCode="0.00">
                  <c:v>60</c:v>
                </c:pt>
                <c:pt idx="5">
                  <c:v>80</c:v>
                </c:pt>
                <c:pt idx="6">
                  <c:v>100</c:v>
                </c:pt>
              </c:numCache>
            </c:numRef>
          </c:xVal>
          <c:yVal>
            <c:numRef>
              <c:f>PE!$AM$23:$AM$29</c:f>
              <c:numCache>
                <c:formatCode>_("$"\ * #,##0.00_);_("$"\ * \(#,##0.00\);_("$"\ * "-"??_);_(@_)</c:formatCode>
                <c:ptCount val="7"/>
                <c:pt idx="0">
                  <c:v>617.02991863709769</c:v>
                </c:pt>
                <c:pt idx="1">
                  <c:v>617.02991863709769</c:v>
                </c:pt>
                <c:pt idx="2">
                  <c:v>617.02991863709769</c:v>
                </c:pt>
                <c:pt idx="3">
                  <c:v>617.02991863709769</c:v>
                </c:pt>
                <c:pt idx="4">
                  <c:v>617.02991863709769</c:v>
                </c:pt>
                <c:pt idx="5">
                  <c:v>617.02991863709769</c:v>
                </c:pt>
                <c:pt idx="6">
                  <c:v>617.02991863709769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4AC-414D-8B1C-A6ED24922329}"/>
            </c:ext>
          </c:extLst>
        </c:ser>
        <c:ser>
          <c:idx val="1"/>
          <c:order val="1"/>
          <c:tx>
            <c:v>COSTOS TOTALES</c:v>
          </c:tx>
          <c:xVal>
            <c:numRef>
              <c:f>PE!$AK$23:$AK$29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 formatCode="0.00">
                  <c:v>27.982444710577493</c:v>
                </c:pt>
                <c:pt idx="4" formatCode="0.00">
                  <c:v>60</c:v>
                </c:pt>
                <c:pt idx="5">
                  <c:v>80</c:v>
                </c:pt>
                <c:pt idx="6">
                  <c:v>100</c:v>
                </c:pt>
              </c:numCache>
            </c:numRef>
          </c:xVal>
          <c:yVal>
            <c:numRef>
              <c:f>PE!$AP$23:$AP$29</c:f>
              <c:numCache>
                <c:formatCode>_("$"\ * #,##0.00_);_("$"\ * \(#,##0.00\);_("$"\ * "-"??_);_(@_)</c:formatCode>
                <c:ptCount val="7"/>
                <c:pt idx="0">
                  <c:v>617.02991863709769</c:v>
                </c:pt>
                <c:pt idx="1">
                  <c:v>631.52383883633695</c:v>
                </c:pt>
                <c:pt idx="2">
                  <c:v>646.01775903557609</c:v>
                </c:pt>
                <c:pt idx="3">
                  <c:v>657.58745069857105</c:v>
                </c:pt>
                <c:pt idx="4">
                  <c:v>703.993439832533</c:v>
                </c:pt>
                <c:pt idx="5">
                  <c:v>732.9812802310114</c:v>
                </c:pt>
                <c:pt idx="6">
                  <c:v>761.96912062948991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4AC-414D-8B1C-A6ED24922329}"/>
            </c:ext>
          </c:extLst>
        </c:ser>
        <c:ser>
          <c:idx val="2"/>
          <c:order val="2"/>
          <c:tx>
            <c:v>INGRESO</c:v>
          </c:tx>
          <c:xVal>
            <c:numRef>
              <c:f>PE!$AK$23:$AK$29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 formatCode="0.00">
                  <c:v>27.982444710577493</c:v>
                </c:pt>
                <c:pt idx="4" formatCode="0.00">
                  <c:v>60</c:v>
                </c:pt>
                <c:pt idx="5">
                  <c:v>80</c:v>
                </c:pt>
                <c:pt idx="6">
                  <c:v>100</c:v>
                </c:pt>
              </c:numCache>
            </c:numRef>
          </c:xVal>
          <c:yVal>
            <c:numRef>
              <c:f>PE!$AL$23:$AL$29</c:f>
              <c:numCache>
                <c:formatCode>_("$"\ * #,##0.00_);_("$"\ * \(#,##0.00\);_("$"\ * "-"??_);_(@_)</c:formatCode>
                <c:ptCount val="7"/>
                <c:pt idx="0">
                  <c:v>0</c:v>
                </c:pt>
                <c:pt idx="1">
                  <c:v>235</c:v>
                </c:pt>
                <c:pt idx="2">
                  <c:v>470</c:v>
                </c:pt>
                <c:pt idx="3">
                  <c:v>657.58745069857105</c:v>
                </c:pt>
                <c:pt idx="4">
                  <c:v>1410</c:v>
                </c:pt>
                <c:pt idx="5">
                  <c:v>1880</c:v>
                </c:pt>
                <c:pt idx="6">
                  <c:v>2350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4AC-414D-8B1C-A6ED24922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160504"/>
        <c:axId val="382164032"/>
      </c:scatterChart>
      <c:valAx>
        <c:axId val="382160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2164032"/>
        <c:crosses val="autoZero"/>
        <c:crossBetween val="midCat"/>
      </c:valAx>
      <c:valAx>
        <c:axId val="382164032"/>
        <c:scaling>
          <c:orientation val="minMax"/>
        </c:scaling>
        <c:delete val="0"/>
        <c:axPos val="l"/>
        <c:majorGridlines/>
        <c:numFmt formatCode="_(&quot;$&quot;\ * #,##0.00_);_(&quot;$&quot;\ * \(#,##0.00\);_(&quot;$&quot;\ * &quot;-&quot;??_);_(@_)" sourceLinked="1"/>
        <c:majorTickMark val="out"/>
        <c:minorTickMark val="none"/>
        <c:tickLblPos val="nextTo"/>
        <c:crossAx val="3821605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COSTOS FIJOS</c:v>
          </c:tx>
          <c:xVal>
            <c:numRef>
              <c:f>PE!$AS$23:$AS$29</c:f>
              <c:numCache>
                <c:formatCode>General</c:formatCode>
                <c:ptCount val="7"/>
                <c:pt idx="0">
                  <c:v>0</c:v>
                </c:pt>
                <c:pt idx="1">
                  <c:v>1000</c:v>
                </c:pt>
                <c:pt idx="2">
                  <c:v>1500</c:v>
                </c:pt>
                <c:pt idx="3" formatCode="_(&quot;$&quot;\ * #,##0.00_);_(&quot;$&quot;\ * \(#,##0.00\);_(&quot;$&quot;\ * &quot;-&quot;??_);_(@_)">
                  <c:v>2792.1177957537011</c:v>
                </c:pt>
                <c:pt idx="4" formatCode="0.00">
                  <c:v>3000</c:v>
                </c:pt>
                <c:pt idx="5">
                  <c:v>4000</c:v>
                </c:pt>
                <c:pt idx="6">
                  <c:v>5000</c:v>
                </c:pt>
              </c:numCache>
            </c:numRef>
          </c:xVal>
          <c:yVal>
            <c:numRef>
              <c:f>PE!$AU$23:$AU$29</c:f>
              <c:numCache>
                <c:formatCode>_("$"\ * #,##0.00_);_("$"\ * \(#,##0.00\);_("$"\ * "-"??_);_(@_)</c:formatCode>
                <c:ptCount val="7"/>
                <c:pt idx="0">
                  <c:v>6283.9625924357088</c:v>
                </c:pt>
                <c:pt idx="1">
                  <c:v>6283.9625924357088</c:v>
                </c:pt>
                <c:pt idx="2">
                  <c:v>6283.9625924357088</c:v>
                </c:pt>
                <c:pt idx="3">
                  <c:v>6283.9625924357088</c:v>
                </c:pt>
                <c:pt idx="4">
                  <c:v>6283.9625924357088</c:v>
                </c:pt>
                <c:pt idx="5">
                  <c:v>6283.9625924357088</c:v>
                </c:pt>
                <c:pt idx="6">
                  <c:v>6283.9625924357088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98C-46C0-A63A-641BAF03F869}"/>
            </c:ext>
          </c:extLst>
        </c:ser>
        <c:ser>
          <c:idx val="1"/>
          <c:order val="1"/>
          <c:tx>
            <c:v>COSTOS TOTALES</c:v>
          </c:tx>
          <c:xVal>
            <c:numRef>
              <c:f>PE!$AS$23:$AS$29</c:f>
              <c:numCache>
                <c:formatCode>General</c:formatCode>
                <c:ptCount val="7"/>
                <c:pt idx="0">
                  <c:v>0</c:v>
                </c:pt>
                <c:pt idx="1">
                  <c:v>1000</c:v>
                </c:pt>
                <c:pt idx="2">
                  <c:v>1500</c:v>
                </c:pt>
                <c:pt idx="3" formatCode="_(&quot;$&quot;\ * #,##0.00_);_(&quot;$&quot;\ * \(#,##0.00\);_(&quot;$&quot;\ * &quot;-&quot;??_);_(@_)">
                  <c:v>2792.1177957537011</c:v>
                </c:pt>
                <c:pt idx="4" formatCode="0.00">
                  <c:v>3000</c:v>
                </c:pt>
                <c:pt idx="5">
                  <c:v>4000</c:v>
                </c:pt>
                <c:pt idx="6">
                  <c:v>5000</c:v>
                </c:pt>
              </c:numCache>
            </c:numRef>
          </c:xVal>
          <c:yVal>
            <c:numRef>
              <c:f>PE!$AX$23:$AX$29</c:f>
              <c:numCache>
                <c:formatCode>_("$"\ * #,##0.00_);_("$"\ * \(#,##0.00\);_("$"\ * "-"??_);_(@_)</c:formatCode>
                <c:ptCount val="7"/>
                <c:pt idx="0">
                  <c:v>6283.9625924357088</c:v>
                </c:pt>
                <c:pt idx="1">
                  <c:v>7733.3546123596307</c:v>
                </c:pt>
                <c:pt idx="2">
                  <c:v>8458.0506223215925</c:v>
                </c:pt>
                <c:pt idx="3">
                  <c:v>10330.835844288695</c:v>
                </c:pt>
                <c:pt idx="4">
                  <c:v>10632.138652207475</c:v>
                </c:pt>
                <c:pt idx="5">
                  <c:v>12081.530672131397</c:v>
                </c:pt>
                <c:pt idx="6">
                  <c:v>13530.922692055319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98C-46C0-A63A-641BAF03F869}"/>
            </c:ext>
          </c:extLst>
        </c:ser>
        <c:ser>
          <c:idx val="2"/>
          <c:order val="2"/>
          <c:tx>
            <c:v>INGRESOS</c:v>
          </c:tx>
          <c:xVal>
            <c:numRef>
              <c:f>PE!$AS$23:$AS$29</c:f>
              <c:numCache>
                <c:formatCode>General</c:formatCode>
                <c:ptCount val="7"/>
                <c:pt idx="0">
                  <c:v>0</c:v>
                </c:pt>
                <c:pt idx="1">
                  <c:v>1000</c:v>
                </c:pt>
                <c:pt idx="2">
                  <c:v>1500</c:v>
                </c:pt>
                <c:pt idx="3" formatCode="_(&quot;$&quot;\ * #,##0.00_);_(&quot;$&quot;\ * \(#,##0.00\);_(&quot;$&quot;\ * &quot;-&quot;??_);_(@_)">
                  <c:v>2792.1177957537011</c:v>
                </c:pt>
                <c:pt idx="4" formatCode="0.00">
                  <c:v>3000</c:v>
                </c:pt>
                <c:pt idx="5">
                  <c:v>4000</c:v>
                </c:pt>
                <c:pt idx="6">
                  <c:v>5000</c:v>
                </c:pt>
              </c:numCache>
            </c:numRef>
          </c:xVal>
          <c:yVal>
            <c:numRef>
              <c:f>PE!$AT$23:$AT$29</c:f>
              <c:numCache>
                <c:formatCode>_("$"\ * #,##0.00_);_("$"\ * \(#,##0.00\);_("$"\ * "-"??_);_(@_)</c:formatCode>
                <c:ptCount val="7"/>
                <c:pt idx="0">
                  <c:v>0</c:v>
                </c:pt>
                <c:pt idx="1">
                  <c:v>3700</c:v>
                </c:pt>
                <c:pt idx="2">
                  <c:v>5550</c:v>
                </c:pt>
                <c:pt idx="3">
                  <c:v>10330.835844288695</c:v>
                </c:pt>
                <c:pt idx="4">
                  <c:v>11100</c:v>
                </c:pt>
                <c:pt idx="5">
                  <c:v>14800</c:v>
                </c:pt>
                <c:pt idx="6">
                  <c:v>18500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98C-46C0-A63A-641BAF03F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163248"/>
        <c:axId val="382165992"/>
      </c:scatterChart>
      <c:valAx>
        <c:axId val="38216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2165992"/>
        <c:crosses val="autoZero"/>
        <c:crossBetween val="midCat"/>
      </c:valAx>
      <c:valAx>
        <c:axId val="382165992"/>
        <c:scaling>
          <c:orientation val="minMax"/>
        </c:scaling>
        <c:delete val="0"/>
        <c:axPos val="l"/>
        <c:majorGridlines/>
        <c:numFmt formatCode="_(&quot;$&quot;\ * #,##0.00_);_(&quot;$&quot;\ * \(#,##0.00\);_(&quot;$&quot;\ * &quot;-&quot;??_);_(@_)" sourceLinked="1"/>
        <c:majorTickMark val="out"/>
        <c:minorTickMark val="none"/>
        <c:tickLblPos val="nextTo"/>
        <c:crossAx val="3821632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COSTO FIJO</c:v>
          </c:tx>
          <c:xVal>
            <c:numRef>
              <c:f>PE!$M$23:$M$29</c:f>
              <c:numCache>
                <c:formatCode>General</c:formatCode>
                <c:ptCount val="7"/>
                <c:pt idx="0">
                  <c:v>0</c:v>
                </c:pt>
                <c:pt idx="1">
                  <c:v>6000</c:v>
                </c:pt>
                <c:pt idx="2">
                  <c:v>8000</c:v>
                </c:pt>
                <c:pt idx="3" formatCode="0.00">
                  <c:v>11590.033694262458</c:v>
                </c:pt>
                <c:pt idx="4" formatCode="0.00">
                  <c:v>12000</c:v>
                </c:pt>
                <c:pt idx="5">
                  <c:v>16000</c:v>
                </c:pt>
                <c:pt idx="6">
                  <c:v>18000</c:v>
                </c:pt>
              </c:numCache>
            </c:numRef>
          </c:xVal>
          <c:yVal>
            <c:numRef>
              <c:f>PE!$O$23:$O$29</c:f>
              <c:numCache>
                <c:formatCode>_("$"\ * #,##0.00_);_("$"\ * \(#,##0.00\);_("$"\ * "-"??_);_(@_)</c:formatCode>
                <c:ptCount val="7"/>
                <c:pt idx="0">
                  <c:v>30021.720704892232</c:v>
                </c:pt>
                <c:pt idx="1">
                  <c:v>30021.720704892232</c:v>
                </c:pt>
                <c:pt idx="2">
                  <c:v>30021.720704892232</c:v>
                </c:pt>
                <c:pt idx="3">
                  <c:v>30021.720704892232</c:v>
                </c:pt>
                <c:pt idx="4">
                  <c:v>30021.720704892232</c:v>
                </c:pt>
                <c:pt idx="5">
                  <c:v>30021.720704892232</c:v>
                </c:pt>
                <c:pt idx="6">
                  <c:v>30021.720704892232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A36-466C-ADC7-FE0C39E9C038}"/>
            </c:ext>
          </c:extLst>
        </c:ser>
        <c:ser>
          <c:idx val="1"/>
          <c:order val="1"/>
          <c:tx>
            <c:v>COSTO TOTAL</c:v>
          </c:tx>
          <c:xVal>
            <c:numRef>
              <c:f>PE!$M$23:$M$29</c:f>
              <c:numCache>
                <c:formatCode>General</c:formatCode>
                <c:ptCount val="7"/>
                <c:pt idx="0">
                  <c:v>0</c:v>
                </c:pt>
                <c:pt idx="1">
                  <c:v>6000</c:v>
                </c:pt>
                <c:pt idx="2">
                  <c:v>8000</c:v>
                </c:pt>
                <c:pt idx="3" formatCode="0.00">
                  <c:v>11590.033694262458</c:v>
                </c:pt>
                <c:pt idx="4" formatCode="0.00">
                  <c:v>12000</c:v>
                </c:pt>
                <c:pt idx="5">
                  <c:v>16000</c:v>
                </c:pt>
                <c:pt idx="6">
                  <c:v>18000</c:v>
                </c:pt>
              </c:numCache>
            </c:numRef>
          </c:xVal>
          <c:yVal>
            <c:numRef>
              <c:f>PE!$R$23:$R$29</c:f>
              <c:numCache>
                <c:formatCode>_("$"\ * #,##0.00_);_("$"\ * \(#,##0.00\);_("$"\ * "-"??_);_(@_)</c:formatCode>
                <c:ptCount val="7"/>
                <c:pt idx="0">
                  <c:v>30021.720704892232</c:v>
                </c:pt>
                <c:pt idx="1">
                  <c:v>38479.891493599658</c:v>
                </c:pt>
                <c:pt idx="2">
                  <c:v>41299.28175650214</c:v>
                </c:pt>
                <c:pt idx="3">
                  <c:v>46360.134777049825</c:v>
                </c:pt>
                <c:pt idx="4">
                  <c:v>46938.062282307088</c:v>
                </c:pt>
                <c:pt idx="5">
                  <c:v>52576.842808112044</c:v>
                </c:pt>
                <c:pt idx="6">
                  <c:v>55396.233071014518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A36-466C-ADC7-FE0C39E9C038}"/>
            </c:ext>
          </c:extLst>
        </c:ser>
        <c:ser>
          <c:idx val="2"/>
          <c:order val="2"/>
          <c:tx>
            <c:v>INGRESO</c:v>
          </c:tx>
          <c:xVal>
            <c:numRef>
              <c:f>PE!$M$23:$M$29</c:f>
              <c:numCache>
                <c:formatCode>General</c:formatCode>
                <c:ptCount val="7"/>
                <c:pt idx="0">
                  <c:v>0</c:v>
                </c:pt>
                <c:pt idx="1">
                  <c:v>6000</c:v>
                </c:pt>
                <c:pt idx="2">
                  <c:v>8000</c:v>
                </c:pt>
                <c:pt idx="3" formatCode="0.00">
                  <c:v>11590.033694262458</c:v>
                </c:pt>
                <c:pt idx="4" formatCode="0.00">
                  <c:v>12000</c:v>
                </c:pt>
                <c:pt idx="5">
                  <c:v>16000</c:v>
                </c:pt>
                <c:pt idx="6">
                  <c:v>18000</c:v>
                </c:pt>
              </c:numCache>
            </c:numRef>
          </c:xVal>
          <c:yVal>
            <c:numRef>
              <c:f>PE!$N$23:$N$29</c:f>
              <c:numCache>
                <c:formatCode>_("$"\ * #,##0.00_);_("$"\ * \(#,##0.00\);_("$"\ * "-"??_);_(@_)</c:formatCode>
                <c:ptCount val="7"/>
                <c:pt idx="0">
                  <c:v>0</c:v>
                </c:pt>
                <c:pt idx="1">
                  <c:v>24000</c:v>
                </c:pt>
                <c:pt idx="2">
                  <c:v>32000</c:v>
                </c:pt>
                <c:pt idx="3">
                  <c:v>46360.134777049832</c:v>
                </c:pt>
                <c:pt idx="4">
                  <c:v>48000</c:v>
                </c:pt>
                <c:pt idx="5">
                  <c:v>64000</c:v>
                </c:pt>
                <c:pt idx="6">
                  <c:v>72000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A36-466C-ADC7-FE0C39E9C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160112"/>
        <c:axId val="382166384"/>
      </c:scatterChart>
      <c:valAx>
        <c:axId val="38216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2166384"/>
        <c:crosses val="autoZero"/>
        <c:crossBetween val="midCat"/>
      </c:valAx>
      <c:valAx>
        <c:axId val="382166384"/>
        <c:scaling>
          <c:orientation val="minMax"/>
        </c:scaling>
        <c:delete val="0"/>
        <c:axPos val="l"/>
        <c:majorGridlines/>
        <c:numFmt formatCode="_(&quot;$&quot;\ * #,##0.00_);_(&quot;$&quot;\ * \(#,##0.00\);_(&quot;$&quot;\ * &quot;-&quot;??_);_(@_)" sourceLinked="1"/>
        <c:majorTickMark val="out"/>
        <c:minorTickMark val="none"/>
        <c:tickLblPos val="nextTo"/>
        <c:crossAx val="3821601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COSTO FIJO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PE!$L$49:$L$55</c:f>
              <c:numCache>
                <c:formatCode>General</c:formatCode>
                <c:ptCount val="7"/>
                <c:pt idx="0">
                  <c:v>0</c:v>
                </c:pt>
                <c:pt idx="1">
                  <c:v>50</c:v>
                </c:pt>
                <c:pt idx="2">
                  <c:v>70</c:v>
                </c:pt>
                <c:pt idx="3" formatCode="0.00">
                  <c:v>221.83040444239768</c:v>
                </c:pt>
                <c:pt idx="4" formatCode="0.00">
                  <c:v>120</c:v>
                </c:pt>
                <c:pt idx="5">
                  <c:v>160</c:v>
                </c:pt>
                <c:pt idx="6">
                  <c:v>180</c:v>
                </c:pt>
              </c:numCache>
            </c:numRef>
          </c:xVal>
          <c:yVal>
            <c:numRef>
              <c:f>PE!$N$49:$N$55</c:f>
              <c:numCache>
                <c:formatCode>_("$"\ * #,##0.00_);_("$"\ * \(#,##0.00\);_("$"\ * "-"??_);_(@_)</c:formatCode>
                <c:ptCount val="7"/>
                <c:pt idx="0">
                  <c:v>423.23059715833324</c:v>
                </c:pt>
                <c:pt idx="1">
                  <c:v>423.23059715833324</c:v>
                </c:pt>
                <c:pt idx="2">
                  <c:v>423.23059715833324</c:v>
                </c:pt>
                <c:pt idx="3">
                  <c:v>423.23059715833324</c:v>
                </c:pt>
                <c:pt idx="4">
                  <c:v>423.23059715833324</c:v>
                </c:pt>
                <c:pt idx="5">
                  <c:v>423.23059715833324</c:v>
                </c:pt>
                <c:pt idx="6">
                  <c:v>423.23059715833324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120-465B-81DB-1FC9ADDACEB2}"/>
            </c:ext>
          </c:extLst>
        </c:ser>
        <c:ser>
          <c:idx val="1"/>
          <c:order val="1"/>
          <c:tx>
            <c:v>COSTO TOTAL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PE!$L$49:$L$55</c:f>
              <c:numCache>
                <c:formatCode>General</c:formatCode>
                <c:ptCount val="7"/>
                <c:pt idx="0">
                  <c:v>0</c:v>
                </c:pt>
                <c:pt idx="1">
                  <c:v>50</c:v>
                </c:pt>
                <c:pt idx="2">
                  <c:v>70</c:v>
                </c:pt>
                <c:pt idx="3" formatCode="0.00">
                  <c:v>221.83040444239768</c:v>
                </c:pt>
                <c:pt idx="4" formatCode="0.00">
                  <c:v>120</c:v>
                </c:pt>
                <c:pt idx="5">
                  <c:v>160</c:v>
                </c:pt>
                <c:pt idx="6">
                  <c:v>180</c:v>
                </c:pt>
              </c:numCache>
            </c:numRef>
          </c:xVal>
          <c:yVal>
            <c:numRef>
              <c:f>PE!$Q$49:$Q$55</c:f>
              <c:numCache>
                <c:formatCode>_("$"\ * #,##0.00_);_("$"\ * \(#,##0.00\);_("$"\ * "-"??_);_(@_)</c:formatCode>
                <c:ptCount val="7"/>
                <c:pt idx="0">
                  <c:v>423.23059715833324</c:v>
                </c:pt>
                <c:pt idx="1">
                  <c:v>1027.8355140942726</c:v>
                </c:pt>
                <c:pt idx="2">
                  <c:v>1269.6774808686487</c:v>
                </c:pt>
                <c:pt idx="3">
                  <c:v>3105.6256621935677</c:v>
                </c:pt>
                <c:pt idx="4">
                  <c:v>1874.2823978045881</c:v>
                </c:pt>
                <c:pt idx="5">
                  <c:v>2357.9663313533397</c:v>
                </c:pt>
                <c:pt idx="6">
                  <c:v>2599.8082981277153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120-465B-81DB-1FC9ADDACEB2}"/>
            </c:ext>
          </c:extLst>
        </c:ser>
        <c:ser>
          <c:idx val="2"/>
          <c:order val="2"/>
          <c:tx>
            <c:v>INGRESO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PE!$L$49:$L$55</c:f>
              <c:numCache>
                <c:formatCode>General</c:formatCode>
                <c:ptCount val="7"/>
                <c:pt idx="0">
                  <c:v>0</c:v>
                </c:pt>
                <c:pt idx="1">
                  <c:v>50</c:v>
                </c:pt>
                <c:pt idx="2">
                  <c:v>70</c:v>
                </c:pt>
                <c:pt idx="3" formatCode="0.00">
                  <c:v>221.83040444239768</c:v>
                </c:pt>
                <c:pt idx="4" formatCode="0.00">
                  <c:v>120</c:v>
                </c:pt>
                <c:pt idx="5">
                  <c:v>160</c:v>
                </c:pt>
                <c:pt idx="6">
                  <c:v>180</c:v>
                </c:pt>
              </c:numCache>
            </c:numRef>
          </c:xVal>
          <c:yVal>
            <c:numRef>
              <c:f>PE!$M$49:$M$55</c:f>
              <c:numCache>
                <c:formatCode>_("$"\ * #,##0.00_);_("$"\ * \(#,##0.00\);_("$"\ * "-"??_);_(@_)</c:formatCode>
                <c:ptCount val="7"/>
                <c:pt idx="0">
                  <c:v>0</c:v>
                </c:pt>
                <c:pt idx="1">
                  <c:v>700</c:v>
                </c:pt>
                <c:pt idx="2">
                  <c:v>980</c:v>
                </c:pt>
                <c:pt idx="3">
                  <c:v>3105.6256621935677</c:v>
                </c:pt>
                <c:pt idx="4">
                  <c:v>1680</c:v>
                </c:pt>
                <c:pt idx="5">
                  <c:v>2240</c:v>
                </c:pt>
                <c:pt idx="6">
                  <c:v>2520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120-465B-81DB-1FC9ADDAC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159328"/>
        <c:axId val="382163640"/>
      </c:scatterChart>
      <c:valAx>
        <c:axId val="38215932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82163640"/>
        <c:crosses val="autoZero"/>
        <c:crossBetween val="midCat"/>
      </c:valAx>
      <c:valAx>
        <c:axId val="382163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_(&quot;$&quot;\ * #,##0.00_);_(&quot;$&quot;\ * \(#,##0.00\);_(&quot;$&quot;\ 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82159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COSTO FIJO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PE!$U$49:$U$55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 formatCode="0.00">
                  <c:v>51.253464613840279</c:v>
                </c:pt>
                <c:pt idx="4" formatCode="0.00">
                  <c:v>60</c:v>
                </c:pt>
                <c:pt idx="5">
                  <c:v>80</c:v>
                </c:pt>
                <c:pt idx="6">
                  <c:v>100</c:v>
                </c:pt>
              </c:numCache>
            </c:numRef>
          </c:xVal>
          <c:yVal>
            <c:numRef>
              <c:f>PE!$W$49:$W$55</c:f>
              <c:numCache>
                <c:formatCode>_("$"\ * #,##0.00_);_("$"\ * \(#,##0.00\);_("$"\ * "-"??_);_(@_)</c:formatCode>
                <c:ptCount val="7"/>
                <c:pt idx="0">
                  <c:v>423.23059715833324</c:v>
                </c:pt>
                <c:pt idx="1">
                  <c:v>423.23059715833324</c:v>
                </c:pt>
                <c:pt idx="2">
                  <c:v>423.23059715833324</c:v>
                </c:pt>
                <c:pt idx="3">
                  <c:v>423.23059715833324</c:v>
                </c:pt>
                <c:pt idx="4">
                  <c:v>423.23059715833324</c:v>
                </c:pt>
                <c:pt idx="5">
                  <c:v>423.23059715833324</c:v>
                </c:pt>
                <c:pt idx="6">
                  <c:v>423.23059715833324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F78-4AF8-BC9F-48D660E8CDFA}"/>
            </c:ext>
          </c:extLst>
        </c:ser>
        <c:ser>
          <c:idx val="1"/>
          <c:order val="1"/>
          <c:tx>
            <c:v>COSTO TOTAL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PE!$U$49:$U$55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 formatCode="0.00">
                  <c:v>51.253464613840279</c:v>
                </c:pt>
                <c:pt idx="4" formatCode="0.00">
                  <c:v>60</c:v>
                </c:pt>
                <c:pt idx="5">
                  <c:v>80</c:v>
                </c:pt>
                <c:pt idx="6">
                  <c:v>100</c:v>
                </c:pt>
              </c:numCache>
            </c:numRef>
          </c:xVal>
          <c:yVal>
            <c:numRef>
              <c:f>PE!$Z$49:$Z$55</c:f>
              <c:numCache>
                <c:formatCode>_("$"\ * #,##0.00_);_("$"\ * \(#,##0.00\);_("$"\ * "-"??_);_(@_)</c:formatCode>
                <c:ptCount val="7"/>
                <c:pt idx="0">
                  <c:v>423.23059715833324</c:v>
                </c:pt>
                <c:pt idx="1">
                  <c:v>470.65459954586242</c:v>
                </c:pt>
                <c:pt idx="2">
                  <c:v>518.07860193339161</c:v>
                </c:pt>
                <c:pt idx="3">
                  <c:v>666.29503997992367</c:v>
                </c:pt>
                <c:pt idx="4">
                  <c:v>707.77461148350835</c:v>
                </c:pt>
                <c:pt idx="5">
                  <c:v>802.62261625856672</c:v>
                </c:pt>
                <c:pt idx="6">
                  <c:v>897.47062103362509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F78-4AF8-BC9F-48D660E8CDFA}"/>
            </c:ext>
          </c:extLst>
        </c:ser>
        <c:ser>
          <c:idx val="2"/>
          <c:order val="2"/>
          <c:tx>
            <c:v>INGRESO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PE!$U$49:$U$55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 formatCode="0.00">
                  <c:v>51.253464613840279</c:v>
                </c:pt>
                <c:pt idx="4" formatCode="0.00">
                  <c:v>60</c:v>
                </c:pt>
                <c:pt idx="5">
                  <c:v>80</c:v>
                </c:pt>
                <c:pt idx="6">
                  <c:v>100</c:v>
                </c:pt>
              </c:numCache>
            </c:numRef>
          </c:xVal>
          <c:yVal>
            <c:numRef>
              <c:f>PE!$V$49:$V$55</c:f>
              <c:numCache>
                <c:formatCode>_("$"\ * #,##0.00_);_("$"\ * \(#,##0.00\);_("$"\ * "-"??_);_(@_)</c:formatCode>
                <c:ptCount val="7"/>
                <c:pt idx="0">
                  <c:v>0</c:v>
                </c:pt>
                <c:pt idx="1">
                  <c:v>130</c:v>
                </c:pt>
                <c:pt idx="2">
                  <c:v>260</c:v>
                </c:pt>
                <c:pt idx="3">
                  <c:v>666.29503997992367</c:v>
                </c:pt>
                <c:pt idx="4">
                  <c:v>780</c:v>
                </c:pt>
                <c:pt idx="5">
                  <c:v>1040</c:v>
                </c:pt>
                <c:pt idx="6">
                  <c:v>1300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F78-4AF8-BC9F-48D660E8C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0352408"/>
        <c:axId val="380346136"/>
      </c:scatterChart>
      <c:valAx>
        <c:axId val="38035240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80346136"/>
        <c:crosses val="autoZero"/>
        <c:crossBetween val="midCat"/>
      </c:valAx>
      <c:valAx>
        <c:axId val="38034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_(&quot;$&quot;\ * #,##0.00_);_(&quot;$&quot;\ * \(#,##0.00\);_(&quot;$&quot;\ 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80352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685800</xdr:colOff>
      <xdr:row>2</xdr:row>
      <xdr:rowOff>119062</xdr:rowOff>
    </xdr:from>
    <xdr:to>
      <xdr:col>33</xdr:col>
      <xdr:colOff>685800</xdr:colOff>
      <xdr:row>16</xdr:row>
      <xdr:rowOff>185737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</xdr:colOff>
      <xdr:row>36</xdr:row>
      <xdr:rowOff>114300</xdr:rowOff>
    </xdr:from>
    <xdr:to>
      <xdr:col>23</xdr:col>
      <xdr:colOff>198399</xdr:colOff>
      <xdr:row>74</xdr:row>
      <xdr:rowOff>189586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50" y="7429500"/>
          <a:ext cx="13009524" cy="7314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238125</xdr:colOff>
      <xdr:row>31</xdr:row>
      <xdr:rowOff>52387</xdr:rowOff>
    </xdr:from>
    <xdr:to>
      <xdr:col>25</xdr:col>
      <xdr:colOff>209550</xdr:colOff>
      <xdr:row>45</xdr:row>
      <xdr:rowOff>128587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9B9418CB-4682-453A-9DF8-40259F10F7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723900</xdr:colOff>
      <xdr:row>31</xdr:row>
      <xdr:rowOff>33337</xdr:rowOff>
    </xdr:from>
    <xdr:to>
      <xdr:col>32</xdr:col>
      <xdr:colOff>723900</xdr:colOff>
      <xdr:row>45</xdr:row>
      <xdr:rowOff>109537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3068B626-6CE5-4771-BCDE-5B52A3BB2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638175</xdr:colOff>
      <xdr:row>32</xdr:row>
      <xdr:rowOff>33337</xdr:rowOff>
    </xdr:from>
    <xdr:to>
      <xdr:col>40</xdr:col>
      <xdr:colOff>638175</xdr:colOff>
      <xdr:row>46</xdr:row>
      <xdr:rowOff>109537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59ED8589-708B-4CFF-BC18-AF4402CE1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266700</xdr:colOff>
      <xdr:row>31</xdr:row>
      <xdr:rowOff>4762</xdr:rowOff>
    </xdr:from>
    <xdr:to>
      <xdr:col>48</xdr:col>
      <xdr:colOff>57150</xdr:colOff>
      <xdr:row>45</xdr:row>
      <xdr:rowOff>80962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8C955880-F119-46CD-8368-3C2C434AA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752475</xdr:colOff>
      <xdr:row>30</xdr:row>
      <xdr:rowOff>4762</xdr:rowOff>
    </xdr:from>
    <xdr:to>
      <xdr:col>16</xdr:col>
      <xdr:colOff>9525</xdr:colOff>
      <xdr:row>44</xdr:row>
      <xdr:rowOff>80962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16259057-EA48-4409-80D3-69412E087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619125</xdr:colOff>
      <xdr:row>56</xdr:row>
      <xdr:rowOff>152400</xdr:rowOff>
    </xdr:from>
    <xdr:to>
      <xdr:col>15</xdr:col>
      <xdr:colOff>371475</xdr:colOff>
      <xdr:row>71</xdr:row>
      <xdr:rowOff>38100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FBBA991-2ED6-45D1-9D33-1EB93733C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361950</xdr:colOff>
      <xdr:row>56</xdr:row>
      <xdr:rowOff>85725</xdr:rowOff>
    </xdr:from>
    <xdr:to>
      <xdr:col>25</xdr:col>
      <xdr:colOff>333375</xdr:colOff>
      <xdr:row>70</xdr:row>
      <xdr:rowOff>161925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B36FF947-31A1-4E33-ACEB-B5063F4095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I26"/>
  <sheetViews>
    <sheetView workbookViewId="0">
      <selection activeCell="O16" sqref="O16"/>
    </sheetView>
  </sheetViews>
  <sheetFormatPr baseColWidth="10" defaultColWidth="11.3984375" defaultRowHeight="14.25" x14ac:dyDescent="0.45"/>
  <sheetData>
    <row r="2" spans="3:9" x14ac:dyDescent="0.45">
      <c r="C2" s="11"/>
      <c r="D2" s="481" t="s">
        <v>0</v>
      </c>
      <c r="E2" s="481"/>
      <c r="F2" s="481"/>
      <c r="G2" s="11" t="s">
        <v>1</v>
      </c>
      <c r="H2" s="11" t="s">
        <v>2</v>
      </c>
      <c r="I2" s="11" t="s">
        <v>3</v>
      </c>
    </row>
    <row r="3" spans="3:9" x14ac:dyDescent="0.45">
      <c r="C3" s="11">
        <v>1</v>
      </c>
      <c r="D3" s="482" t="s">
        <v>4</v>
      </c>
      <c r="E3" s="482"/>
      <c r="F3" s="482"/>
      <c r="G3" s="11"/>
      <c r="H3" s="11"/>
      <c r="I3" s="11">
        <v>1</v>
      </c>
    </row>
    <row r="4" spans="3:9" x14ac:dyDescent="0.45">
      <c r="C4" s="11">
        <f>C3+1</f>
        <v>2</v>
      </c>
      <c r="D4" s="482" t="s">
        <v>5</v>
      </c>
      <c r="E4" s="482"/>
      <c r="F4" s="482"/>
      <c r="G4" s="11">
        <v>1</v>
      </c>
      <c r="H4" s="11"/>
      <c r="I4" s="11"/>
    </row>
    <row r="5" spans="3:9" x14ac:dyDescent="0.45">
      <c r="C5" s="11">
        <f t="shared" ref="C5:C24" si="0">C4+1</f>
        <v>3</v>
      </c>
      <c r="D5" s="12" t="s">
        <v>6</v>
      </c>
      <c r="E5" s="12"/>
      <c r="F5" s="12"/>
      <c r="G5" s="11">
        <v>1</v>
      </c>
      <c r="H5" s="11"/>
      <c r="I5" s="11"/>
    </row>
    <row r="6" spans="3:9" x14ac:dyDescent="0.45">
      <c r="C6" s="11">
        <f t="shared" si="0"/>
        <v>4</v>
      </c>
      <c r="D6" s="482" t="s">
        <v>7</v>
      </c>
      <c r="E6" s="482"/>
      <c r="F6" s="482"/>
      <c r="G6" s="11"/>
      <c r="H6" s="11">
        <v>1</v>
      </c>
      <c r="I6" s="11"/>
    </row>
    <row r="7" spans="3:9" x14ac:dyDescent="0.45">
      <c r="C7" s="11">
        <f t="shared" si="0"/>
        <v>5</v>
      </c>
      <c r="D7" s="482" t="s">
        <v>8</v>
      </c>
      <c r="E7" s="482"/>
      <c r="F7" s="482"/>
      <c r="G7" s="11"/>
      <c r="H7" s="11">
        <v>1</v>
      </c>
      <c r="I7" s="11"/>
    </row>
    <row r="8" spans="3:9" x14ac:dyDescent="0.45">
      <c r="C8" s="11">
        <f t="shared" si="0"/>
        <v>6</v>
      </c>
      <c r="D8" s="482" t="s">
        <v>9</v>
      </c>
      <c r="E8" s="482"/>
      <c r="F8" s="482"/>
      <c r="G8" s="11"/>
      <c r="H8" s="11"/>
      <c r="I8" s="11">
        <v>1</v>
      </c>
    </row>
    <row r="9" spans="3:9" x14ac:dyDescent="0.45">
      <c r="C9" s="11">
        <f t="shared" si="0"/>
        <v>7</v>
      </c>
      <c r="D9" s="482" t="s">
        <v>10</v>
      </c>
      <c r="E9" s="482"/>
      <c r="F9" s="482"/>
      <c r="G9" s="11">
        <v>1</v>
      </c>
      <c r="H9" s="11"/>
      <c r="I9" s="11"/>
    </row>
    <row r="10" spans="3:9" x14ac:dyDescent="0.45">
      <c r="C10" s="11">
        <f t="shared" si="0"/>
        <v>8</v>
      </c>
      <c r="D10" s="483" t="s">
        <v>11</v>
      </c>
      <c r="E10" s="483"/>
      <c r="F10" s="483"/>
      <c r="G10" s="11">
        <v>1</v>
      </c>
      <c r="H10" s="11"/>
      <c r="I10" s="11"/>
    </row>
    <row r="11" spans="3:9" x14ac:dyDescent="0.45">
      <c r="C11" s="11">
        <f t="shared" si="0"/>
        <v>9</v>
      </c>
      <c r="D11" s="482" t="s">
        <v>12</v>
      </c>
      <c r="E11" s="482"/>
      <c r="F11" s="482"/>
      <c r="G11" s="11"/>
      <c r="H11" s="11">
        <v>1</v>
      </c>
      <c r="I11" s="11"/>
    </row>
    <row r="12" spans="3:9" x14ac:dyDescent="0.45">
      <c r="C12" s="13">
        <f t="shared" si="0"/>
        <v>10</v>
      </c>
      <c r="D12" s="484" t="s">
        <v>13</v>
      </c>
      <c r="E12" s="485"/>
      <c r="F12" s="486"/>
      <c r="G12" s="11">
        <v>1</v>
      </c>
      <c r="H12" s="11"/>
      <c r="I12" s="11"/>
    </row>
    <row r="13" spans="3:9" x14ac:dyDescent="0.45">
      <c r="C13" s="11">
        <f t="shared" si="0"/>
        <v>11</v>
      </c>
      <c r="D13" s="483" t="s">
        <v>14</v>
      </c>
      <c r="E13" s="483"/>
      <c r="F13" s="483"/>
      <c r="G13" s="11">
        <v>1</v>
      </c>
      <c r="H13" s="11"/>
      <c r="I13" s="11"/>
    </row>
    <row r="14" spans="3:9" x14ac:dyDescent="0.45">
      <c r="C14" s="11">
        <f t="shared" si="0"/>
        <v>12</v>
      </c>
      <c r="D14" s="480" t="s">
        <v>15</v>
      </c>
      <c r="E14" s="480"/>
      <c r="F14" s="480"/>
      <c r="G14" s="11">
        <v>1</v>
      </c>
      <c r="H14" s="11"/>
      <c r="I14" s="11"/>
    </row>
    <row r="15" spans="3:9" x14ac:dyDescent="0.45">
      <c r="C15" s="11">
        <f t="shared" si="0"/>
        <v>13</v>
      </c>
      <c r="D15" s="483" t="s">
        <v>16</v>
      </c>
      <c r="E15" s="483"/>
      <c r="F15" s="483"/>
      <c r="G15" s="11">
        <v>1</v>
      </c>
      <c r="H15" s="11"/>
      <c r="I15" s="11"/>
    </row>
    <row r="16" spans="3:9" x14ac:dyDescent="0.45">
      <c r="C16" s="11">
        <f t="shared" si="0"/>
        <v>14</v>
      </c>
      <c r="D16" s="483" t="s">
        <v>17</v>
      </c>
      <c r="E16" s="483"/>
      <c r="F16" s="483"/>
      <c r="G16" s="11">
        <v>1</v>
      </c>
      <c r="H16" s="11"/>
      <c r="I16" s="11"/>
    </row>
    <row r="17" spans="3:9" x14ac:dyDescent="0.45">
      <c r="C17" s="11">
        <f t="shared" si="0"/>
        <v>15</v>
      </c>
      <c r="D17" s="482" t="s">
        <v>18</v>
      </c>
      <c r="E17" s="482"/>
      <c r="F17" s="482"/>
      <c r="G17" s="11">
        <v>1</v>
      </c>
      <c r="H17" s="11"/>
      <c r="I17" s="11"/>
    </row>
    <row r="18" spans="3:9" x14ac:dyDescent="0.45">
      <c r="C18" s="11">
        <f t="shared" si="0"/>
        <v>16</v>
      </c>
      <c r="D18" s="482" t="s">
        <v>19</v>
      </c>
      <c r="E18" s="482"/>
      <c r="F18" s="482"/>
      <c r="G18" s="11">
        <v>1</v>
      </c>
      <c r="H18" s="11"/>
      <c r="I18" s="11"/>
    </row>
    <row r="19" spans="3:9" x14ac:dyDescent="0.45">
      <c r="C19" s="11">
        <f t="shared" si="0"/>
        <v>17</v>
      </c>
      <c r="D19" s="483" t="s">
        <v>20</v>
      </c>
      <c r="E19" s="483"/>
      <c r="F19" s="483"/>
      <c r="G19" s="11"/>
      <c r="H19" s="11">
        <v>1</v>
      </c>
      <c r="I19" s="11"/>
    </row>
    <row r="20" spans="3:9" x14ac:dyDescent="0.45">
      <c r="C20" s="11">
        <f t="shared" si="0"/>
        <v>18</v>
      </c>
      <c r="D20" s="482" t="s">
        <v>21</v>
      </c>
      <c r="E20" s="482"/>
      <c r="F20" s="482"/>
      <c r="G20" s="11">
        <v>1</v>
      </c>
      <c r="H20" s="11"/>
      <c r="I20" s="11"/>
    </row>
    <row r="21" spans="3:9" x14ac:dyDescent="0.45">
      <c r="C21" s="11">
        <f t="shared" si="0"/>
        <v>19</v>
      </c>
      <c r="D21" s="482" t="s">
        <v>22</v>
      </c>
      <c r="E21" s="482"/>
      <c r="F21" s="482"/>
      <c r="G21" s="11"/>
      <c r="H21" s="11">
        <v>1</v>
      </c>
      <c r="I21" s="11"/>
    </row>
    <row r="22" spans="3:9" x14ac:dyDescent="0.45">
      <c r="C22" s="11">
        <f t="shared" si="0"/>
        <v>20</v>
      </c>
      <c r="D22" s="482" t="s">
        <v>23</v>
      </c>
      <c r="E22" s="482"/>
      <c r="F22" s="482"/>
      <c r="G22" s="11"/>
      <c r="H22" s="11">
        <v>1</v>
      </c>
      <c r="I22" s="11"/>
    </row>
    <row r="23" spans="3:9" x14ac:dyDescent="0.45">
      <c r="C23" s="11">
        <f t="shared" si="0"/>
        <v>21</v>
      </c>
      <c r="D23" s="482" t="s">
        <v>24</v>
      </c>
      <c r="E23" s="482"/>
      <c r="F23" s="482"/>
      <c r="G23" s="11"/>
      <c r="H23" s="11"/>
      <c r="I23" s="11">
        <v>1</v>
      </c>
    </row>
    <row r="24" spans="3:9" x14ac:dyDescent="0.45">
      <c r="C24" s="11">
        <f t="shared" si="0"/>
        <v>22</v>
      </c>
      <c r="D24" s="482" t="s">
        <v>25</v>
      </c>
      <c r="E24" s="482"/>
      <c r="F24" s="482"/>
      <c r="G24" s="11">
        <v>1</v>
      </c>
      <c r="H24" s="11"/>
      <c r="I24" s="11"/>
    </row>
    <row r="25" spans="3:9" x14ac:dyDescent="0.45">
      <c r="C25" s="487" t="s">
        <v>26</v>
      </c>
      <c r="D25" s="487"/>
      <c r="E25" s="487"/>
      <c r="F25" s="487"/>
      <c r="G25" s="11">
        <v>18</v>
      </c>
      <c r="H25" s="11">
        <f>SUM(H3:H24)</f>
        <v>6</v>
      </c>
      <c r="I25" s="11">
        <f>SUM(I3:I24)</f>
        <v>3</v>
      </c>
    </row>
    <row r="26" spans="3:9" x14ac:dyDescent="0.45">
      <c r="G26">
        <f>SUM(G3:G24)</f>
        <v>13</v>
      </c>
    </row>
  </sheetData>
  <mergeCells count="23">
    <mergeCell ref="C25:F25"/>
    <mergeCell ref="D20:F20"/>
    <mergeCell ref="D21:F21"/>
    <mergeCell ref="D22:F22"/>
    <mergeCell ref="D23:F23"/>
    <mergeCell ref="D24:F24"/>
    <mergeCell ref="D15:F15"/>
    <mergeCell ref="D16:F16"/>
    <mergeCell ref="D17:F17"/>
    <mergeCell ref="D18:F18"/>
    <mergeCell ref="D19:F19"/>
    <mergeCell ref="D14:F14"/>
    <mergeCell ref="D2:F2"/>
    <mergeCell ref="D3:F3"/>
    <mergeCell ref="D4:F4"/>
    <mergeCell ref="D6:F6"/>
    <mergeCell ref="D7:F7"/>
    <mergeCell ref="D8:F8"/>
    <mergeCell ref="D9:F9"/>
    <mergeCell ref="D10:F10"/>
    <mergeCell ref="D11:F11"/>
    <mergeCell ref="D12:F12"/>
    <mergeCell ref="D13:F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F18"/>
  <sheetViews>
    <sheetView workbookViewId="0">
      <selection activeCell="C20" sqref="C20"/>
    </sheetView>
  </sheetViews>
  <sheetFormatPr baseColWidth="10" defaultColWidth="11.3984375" defaultRowHeight="14.25" x14ac:dyDescent="0.45"/>
  <cols>
    <col min="2" max="2" width="45.3984375" customWidth="1"/>
    <col min="3" max="3" width="22.3984375" customWidth="1"/>
    <col min="4" max="4" width="15.265625" customWidth="1"/>
  </cols>
  <sheetData>
    <row r="4" spans="2:6" ht="14.65" thickBot="1" x14ac:dyDescent="0.5">
      <c r="C4" s="24">
        <v>1.3</v>
      </c>
    </row>
    <row r="5" spans="2:6" x14ac:dyDescent="0.45">
      <c r="B5" s="156" t="s">
        <v>224</v>
      </c>
      <c r="C5" s="159" t="s">
        <v>225</v>
      </c>
      <c r="D5" s="157" t="s">
        <v>226</v>
      </c>
    </row>
    <row r="6" spans="2:6" x14ac:dyDescent="0.45">
      <c r="B6" s="65" t="s">
        <v>227</v>
      </c>
      <c r="C6" s="152">
        <f>('Frac hos cli '!I10+10)*C4</f>
        <v>1558.6350000000002</v>
      </c>
      <c r="D6" s="158">
        <f>C6/$C$11</f>
        <v>0.64099548237055259</v>
      </c>
      <c r="F6" s="8"/>
    </row>
    <row r="7" spans="2:6" x14ac:dyDescent="0.45">
      <c r="B7" s="65" t="s">
        <v>228</v>
      </c>
      <c r="C7" s="152">
        <f>'Frac hos cli '!I17*C4</f>
        <v>133.51000000000002</v>
      </c>
      <c r="D7" s="158">
        <f>C10/$C$11</f>
        <v>0.2618621187414793</v>
      </c>
    </row>
    <row r="8" spans="2:6" x14ac:dyDescent="0.45">
      <c r="B8" s="65" t="s">
        <v>229</v>
      </c>
      <c r="C8" s="152">
        <f>'Frac hos cli '!I23*C4</f>
        <v>41.080000000000005</v>
      </c>
      <c r="D8" s="158">
        <f>C7/$C$11</f>
        <v>5.4906573284503733E-2</v>
      </c>
      <c r="F8" s="139"/>
    </row>
    <row r="9" spans="2:6" x14ac:dyDescent="0.45">
      <c r="B9" s="65" t="s">
        <v>230</v>
      </c>
      <c r="C9" s="152">
        <f>'Frac hos cli '!I29*C4</f>
        <v>61.620000000000012</v>
      </c>
      <c r="D9" s="158">
        <f>C8/$C$11</f>
        <v>1.6894330241385765E-2</v>
      </c>
    </row>
    <row r="10" spans="2:6" ht="14.65" thickBot="1" x14ac:dyDescent="0.5">
      <c r="B10" s="160" t="s">
        <v>231</v>
      </c>
      <c r="C10" s="161">
        <f>'Frac hos cli '!I35*C4</f>
        <v>636.74</v>
      </c>
      <c r="D10" s="162">
        <f>C9/$C$11</f>
        <v>2.5341495362078647E-2</v>
      </c>
    </row>
    <row r="11" spans="2:6" ht="14.65" thickBot="1" x14ac:dyDescent="0.5">
      <c r="B11" s="163" t="s">
        <v>26</v>
      </c>
      <c r="C11" s="164">
        <f>SUM(C6:C10)</f>
        <v>2431.585</v>
      </c>
      <c r="D11" s="165">
        <f>SUM(D6:D10)</f>
        <v>1.0000000000000002</v>
      </c>
    </row>
    <row r="14" spans="2:6" x14ac:dyDescent="0.45">
      <c r="B14" s="1" t="s">
        <v>232</v>
      </c>
    </row>
    <row r="15" spans="2:6" x14ac:dyDescent="0.45">
      <c r="B15" s="1" t="s">
        <v>233</v>
      </c>
    </row>
    <row r="16" spans="2:6" x14ac:dyDescent="0.45">
      <c r="B16" s="1" t="s">
        <v>234</v>
      </c>
    </row>
    <row r="17" spans="2:2" x14ac:dyDescent="0.45">
      <c r="B17" s="1" t="s">
        <v>235</v>
      </c>
    </row>
    <row r="18" spans="2:2" x14ac:dyDescent="0.45">
      <c r="B18" s="1" t="s">
        <v>236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H7"/>
  <sheetViews>
    <sheetView workbookViewId="0">
      <selection activeCell="E18" sqref="E18"/>
    </sheetView>
  </sheetViews>
  <sheetFormatPr baseColWidth="10" defaultColWidth="11.3984375" defaultRowHeight="14.25" x14ac:dyDescent="0.45"/>
  <cols>
    <col min="2" max="2" width="32.59765625" customWidth="1"/>
    <col min="3" max="3" width="16.59765625" customWidth="1"/>
    <col min="6" max="6" width="24.86328125" customWidth="1"/>
    <col min="7" max="7" width="17.265625" customWidth="1"/>
  </cols>
  <sheetData>
    <row r="3" spans="2:8" x14ac:dyDescent="0.45">
      <c r="B3" s="141" t="s">
        <v>237</v>
      </c>
      <c r="C3" s="52" t="s">
        <v>238</v>
      </c>
      <c r="D3" s="52" t="s">
        <v>239</v>
      </c>
      <c r="F3" s="52" t="s">
        <v>240</v>
      </c>
      <c r="G3" s="52" t="s">
        <v>238</v>
      </c>
      <c r="H3" s="52" t="s">
        <v>239</v>
      </c>
    </row>
    <row r="4" spans="2:8" x14ac:dyDescent="0.45">
      <c r="B4" s="38" t="s">
        <v>241</v>
      </c>
      <c r="C4" s="52">
        <v>8</v>
      </c>
      <c r="D4" s="52">
        <v>1</v>
      </c>
      <c r="F4" s="38" t="s">
        <v>242</v>
      </c>
      <c r="G4" s="52">
        <v>8</v>
      </c>
      <c r="H4" s="52">
        <v>1</v>
      </c>
    </row>
    <row r="5" spans="2:8" x14ac:dyDescent="0.45">
      <c r="B5" s="38" t="s">
        <v>243</v>
      </c>
      <c r="C5" s="52">
        <v>8</v>
      </c>
      <c r="D5" s="52">
        <v>1</v>
      </c>
      <c r="F5" s="38" t="s">
        <v>244</v>
      </c>
      <c r="G5" s="52">
        <v>8</v>
      </c>
      <c r="H5" s="52">
        <v>1</v>
      </c>
    </row>
    <row r="6" spans="2:8" x14ac:dyDescent="0.45">
      <c r="B6" s="38" t="s">
        <v>245</v>
      </c>
      <c r="C6" s="52">
        <v>8</v>
      </c>
      <c r="D6" s="52">
        <v>1</v>
      </c>
      <c r="F6" s="38" t="s">
        <v>246</v>
      </c>
      <c r="G6" s="52">
        <v>8</v>
      </c>
      <c r="H6" s="52">
        <v>1</v>
      </c>
    </row>
    <row r="7" spans="2:8" x14ac:dyDescent="0.45">
      <c r="B7" s="38" t="s">
        <v>26</v>
      </c>
      <c r="C7" s="38"/>
      <c r="D7" s="52">
        <f>SUM(D4:D6)</f>
        <v>3</v>
      </c>
      <c r="F7" s="38" t="s">
        <v>26</v>
      </c>
      <c r="G7" s="38"/>
      <c r="H7" s="52">
        <f>SUM(H4:H6)</f>
        <v>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2:F12"/>
  <sheetViews>
    <sheetView topLeftCell="B1" workbookViewId="0">
      <selection activeCell="C3" sqref="C3"/>
    </sheetView>
  </sheetViews>
  <sheetFormatPr baseColWidth="10" defaultColWidth="11.3984375" defaultRowHeight="14.25" x14ac:dyDescent="0.45"/>
  <cols>
    <col min="3" max="3" width="22.86328125" customWidth="1"/>
    <col min="4" max="4" width="17.265625" customWidth="1"/>
    <col min="5" max="5" width="21.3984375" customWidth="1"/>
    <col min="6" max="6" width="19.86328125" customWidth="1"/>
  </cols>
  <sheetData>
    <row r="2" spans="3:6" x14ac:dyDescent="0.45">
      <c r="C2" t="s">
        <v>247</v>
      </c>
    </row>
    <row r="3" spans="3:6" x14ac:dyDescent="0.45">
      <c r="C3" s="51" t="s">
        <v>248</v>
      </c>
      <c r="D3" s="26" t="s">
        <v>249</v>
      </c>
      <c r="E3" s="26" t="s">
        <v>250</v>
      </c>
      <c r="F3" s="26" t="s">
        <v>251</v>
      </c>
    </row>
    <row r="4" spans="3:6" x14ac:dyDescent="0.45">
      <c r="C4" s="38" t="s">
        <v>252</v>
      </c>
      <c r="D4" s="52">
        <v>15.6</v>
      </c>
      <c r="E4" s="54">
        <v>145</v>
      </c>
      <c r="F4" s="54">
        <f>D4*E4</f>
        <v>2262</v>
      </c>
    </row>
    <row r="5" spans="3:6" x14ac:dyDescent="0.45">
      <c r="C5" s="38" t="s">
        <v>253</v>
      </c>
      <c r="D5" s="52">
        <v>7.8</v>
      </c>
      <c r="E5" s="54">
        <v>60</v>
      </c>
      <c r="F5" s="54">
        <f t="shared" ref="F5:F11" si="0">D5*E5</f>
        <v>468</v>
      </c>
    </row>
    <row r="6" spans="3:6" x14ac:dyDescent="0.45">
      <c r="C6" s="38" t="s">
        <v>254</v>
      </c>
      <c r="D6" s="52">
        <v>15.6</v>
      </c>
      <c r="E6" s="54">
        <v>145</v>
      </c>
      <c r="F6" s="54">
        <f t="shared" si="0"/>
        <v>2262</v>
      </c>
    </row>
    <row r="7" spans="3:6" x14ac:dyDescent="0.45">
      <c r="C7" s="38" t="s">
        <v>255</v>
      </c>
      <c r="D7" s="52">
        <v>23.4</v>
      </c>
      <c r="E7" s="54">
        <v>120</v>
      </c>
      <c r="F7" s="54">
        <f t="shared" si="0"/>
        <v>2808</v>
      </c>
    </row>
    <row r="8" spans="3:6" x14ac:dyDescent="0.45">
      <c r="C8" s="38" t="s">
        <v>256</v>
      </c>
      <c r="D8" s="52">
        <v>32.9</v>
      </c>
      <c r="E8" s="54">
        <v>145</v>
      </c>
      <c r="F8" s="54">
        <f t="shared" si="0"/>
        <v>4770.5</v>
      </c>
    </row>
    <row r="9" spans="3:6" x14ac:dyDescent="0.45">
      <c r="C9" s="38" t="s">
        <v>257</v>
      </c>
      <c r="D9" s="52">
        <v>80</v>
      </c>
      <c r="E9" s="54">
        <v>80</v>
      </c>
      <c r="F9" s="54">
        <f t="shared" si="0"/>
        <v>6400</v>
      </c>
    </row>
    <row r="10" spans="3:6" x14ac:dyDescent="0.45">
      <c r="C10" s="38" t="s">
        <v>258</v>
      </c>
      <c r="D10" s="52">
        <v>22.95</v>
      </c>
      <c r="E10" s="54">
        <v>90</v>
      </c>
      <c r="F10" s="54">
        <f t="shared" si="0"/>
        <v>2065.5</v>
      </c>
    </row>
    <row r="11" spans="3:6" x14ac:dyDescent="0.45">
      <c r="C11" s="38" t="s">
        <v>259</v>
      </c>
      <c r="D11" s="52">
        <v>7.8</v>
      </c>
      <c r="E11" s="54">
        <v>120</v>
      </c>
      <c r="F11" s="54">
        <f t="shared" si="0"/>
        <v>936</v>
      </c>
    </row>
    <row r="12" spans="3:6" x14ac:dyDescent="0.45">
      <c r="C12" s="38" t="s">
        <v>26</v>
      </c>
      <c r="D12" s="55">
        <f>SUM(D4:D11)</f>
        <v>206.05</v>
      </c>
      <c r="E12" s="54"/>
      <c r="F12" s="56">
        <f>SUM(F4:F11)</f>
        <v>21972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2:G15"/>
  <sheetViews>
    <sheetView topLeftCell="D1" workbookViewId="0">
      <selection activeCell="F17" sqref="F17"/>
    </sheetView>
  </sheetViews>
  <sheetFormatPr baseColWidth="10" defaultColWidth="11.3984375" defaultRowHeight="14.25" x14ac:dyDescent="0.45"/>
  <cols>
    <col min="3" max="3" width="44.265625" customWidth="1"/>
    <col min="4" max="4" width="18" customWidth="1"/>
    <col min="6" max="6" width="26.59765625" customWidth="1"/>
    <col min="7" max="7" width="21.1328125" customWidth="1"/>
  </cols>
  <sheetData>
    <row r="2" spans="3:7" ht="14.65" thickBot="1" x14ac:dyDescent="0.5"/>
    <row r="3" spans="3:7" ht="14.65" thickBot="1" x14ac:dyDescent="0.5">
      <c r="C3" s="63" t="s">
        <v>260</v>
      </c>
      <c r="D3" s="67" t="s">
        <v>261</v>
      </c>
      <c r="F3" s="156" t="s">
        <v>262</v>
      </c>
      <c r="G3" s="166" t="s">
        <v>263</v>
      </c>
    </row>
    <row r="4" spans="3:7" x14ac:dyDescent="0.45">
      <c r="C4" s="64" t="s">
        <v>264</v>
      </c>
      <c r="D4" s="68">
        <f>'Inv Cos'!F12</f>
        <v>21972</v>
      </c>
      <c r="F4" s="65" t="s">
        <v>265</v>
      </c>
      <c r="G4" s="168">
        <f>D14</f>
        <v>43742.79</v>
      </c>
    </row>
    <row r="5" spans="3:7" ht="15" customHeight="1" x14ac:dyDescent="0.45">
      <c r="C5" s="65" t="s">
        <v>266</v>
      </c>
      <c r="D5" s="69">
        <f>'A1.'!D16</f>
        <v>3852.58</v>
      </c>
      <c r="F5" s="65" t="s">
        <v>267</v>
      </c>
      <c r="G5" s="168">
        <f>CNT!C6</f>
        <v>1900</v>
      </c>
    </row>
    <row r="6" spans="3:7" ht="14.65" thickBot="1" x14ac:dyDescent="0.5">
      <c r="C6" s="65" t="s">
        <v>253</v>
      </c>
      <c r="D6" s="70">
        <f>'A2.'!D8</f>
        <v>181.74</v>
      </c>
      <c r="F6" s="160" t="s">
        <v>268</v>
      </c>
      <c r="G6" s="170">
        <f>CNT!H17*2</f>
        <v>27701.258333333335</v>
      </c>
    </row>
    <row r="7" spans="3:7" ht="14.65" thickBot="1" x14ac:dyDescent="0.5">
      <c r="C7" s="65" t="s">
        <v>254</v>
      </c>
      <c r="D7" s="70">
        <f>'A3.'!D10</f>
        <v>618.91000000000008</v>
      </c>
      <c r="F7" s="63" t="s">
        <v>26</v>
      </c>
      <c r="G7" s="171">
        <f>SUM(G4:G6)</f>
        <v>73344.04833333334</v>
      </c>
    </row>
    <row r="8" spans="3:7" x14ac:dyDescent="0.45">
      <c r="C8" s="65" t="s">
        <v>269</v>
      </c>
      <c r="D8" s="70">
        <f>'A4.'!D14</f>
        <v>671</v>
      </c>
    </row>
    <row r="9" spans="3:7" x14ac:dyDescent="0.45">
      <c r="C9" s="65" t="s">
        <v>270</v>
      </c>
      <c r="D9" s="70">
        <f>'A5.'!D12</f>
        <v>1439.35</v>
      </c>
    </row>
    <row r="10" spans="3:7" x14ac:dyDescent="0.45">
      <c r="C10" s="65" t="s">
        <v>257</v>
      </c>
      <c r="D10" s="70">
        <f>'A6.'!D12</f>
        <v>1327.34</v>
      </c>
    </row>
    <row r="11" spans="3:7" ht="14.65" thickBot="1" x14ac:dyDescent="0.5">
      <c r="C11" s="65" t="s">
        <v>258</v>
      </c>
      <c r="D11" s="70">
        <f>'A7.'!D6</f>
        <v>130</v>
      </c>
    </row>
    <row r="12" spans="3:7" x14ac:dyDescent="0.45">
      <c r="C12" s="65" t="s">
        <v>259</v>
      </c>
      <c r="D12" s="70">
        <f>'A8'!D8</f>
        <v>1549.8700000000001</v>
      </c>
      <c r="F12" s="156" t="s">
        <v>262</v>
      </c>
      <c r="G12" s="166" t="s">
        <v>263</v>
      </c>
    </row>
    <row r="13" spans="3:7" x14ac:dyDescent="0.45">
      <c r="C13" s="160" t="s">
        <v>271</v>
      </c>
      <c r="D13" s="190">
        <v>12000</v>
      </c>
      <c r="F13" s="65" t="s">
        <v>265</v>
      </c>
      <c r="G13" s="168">
        <f>G4</f>
        <v>43742.79</v>
      </c>
    </row>
    <row r="14" spans="3:7" ht="14.65" thickBot="1" x14ac:dyDescent="0.5">
      <c r="C14" s="66" t="s">
        <v>272</v>
      </c>
      <c r="D14" s="71">
        <f>SUM(D4:D13)</f>
        <v>43742.79</v>
      </c>
      <c r="F14" s="65" t="s">
        <v>267</v>
      </c>
      <c r="G14" s="168">
        <f>G5</f>
        <v>1900</v>
      </c>
    </row>
    <row r="15" spans="3:7" ht="14.65" thickBot="1" x14ac:dyDescent="0.5">
      <c r="F15" s="63" t="s">
        <v>26</v>
      </c>
      <c r="G15" s="171">
        <f>SUM(G13:G14)</f>
        <v>45642.79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6"/>
  <sheetViews>
    <sheetView workbookViewId="0">
      <selection activeCell="C21" sqref="C21"/>
    </sheetView>
  </sheetViews>
  <sheetFormatPr baseColWidth="10" defaultColWidth="11.3984375" defaultRowHeight="14.25" x14ac:dyDescent="0.45"/>
  <cols>
    <col min="1" max="1" width="30.59765625" customWidth="1"/>
    <col min="2" max="2" width="16.59765625" customWidth="1"/>
    <col min="3" max="3" width="21.3984375" customWidth="1"/>
    <col min="4" max="4" width="18.73046875" customWidth="1"/>
  </cols>
  <sheetData>
    <row r="1" spans="1:5" ht="14.65" thickBot="1" x14ac:dyDescent="0.5">
      <c r="A1" s="536" t="s">
        <v>266</v>
      </c>
      <c r="B1" s="538"/>
      <c r="C1" s="538"/>
      <c r="D1" s="537"/>
    </row>
    <row r="2" spans="1:5" x14ac:dyDescent="0.45">
      <c r="A2" s="51" t="s">
        <v>202</v>
      </c>
      <c r="B2" s="26" t="s">
        <v>203</v>
      </c>
      <c r="C2" s="26" t="s">
        <v>250</v>
      </c>
      <c r="D2" s="26" t="s">
        <v>251</v>
      </c>
    </row>
    <row r="3" spans="1:5" x14ac:dyDescent="0.45">
      <c r="A3" s="27" t="s">
        <v>273</v>
      </c>
      <c r="B3" s="28">
        <v>2</v>
      </c>
      <c r="C3" s="49">
        <v>19.989999999999998</v>
      </c>
      <c r="D3" s="49">
        <f>B3*C3</f>
        <v>39.979999999999997</v>
      </c>
      <c r="E3" t="s">
        <v>274</v>
      </c>
    </row>
    <row r="4" spans="1:5" x14ac:dyDescent="0.45">
      <c r="A4" s="27" t="s">
        <v>275</v>
      </c>
      <c r="B4" s="28">
        <v>1</v>
      </c>
      <c r="C4" s="49">
        <v>54.99</v>
      </c>
      <c r="D4" s="49">
        <f t="shared" ref="D4:D15" si="0">B4*C4</f>
        <v>54.99</v>
      </c>
      <c r="E4" t="s">
        <v>276</v>
      </c>
    </row>
    <row r="5" spans="1:5" ht="27.75" x14ac:dyDescent="0.45">
      <c r="A5" s="29" t="s">
        <v>277</v>
      </c>
      <c r="B5" s="28">
        <v>3</v>
      </c>
      <c r="C5" s="49">
        <v>149.9</v>
      </c>
      <c r="D5" s="49">
        <f t="shared" si="0"/>
        <v>449.70000000000005</v>
      </c>
    </row>
    <row r="6" spans="1:5" x14ac:dyDescent="0.45">
      <c r="A6" s="27" t="s">
        <v>278</v>
      </c>
      <c r="B6" s="28">
        <v>3</v>
      </c>
      <c r="C6" s="49">
        <v>700</v>
      </c>
      <c r="D6" s="49">
        <f t="shared" si="0"/>
        <v>2100</v>
      </c>
    </row>
    <row r="7" spans="1:5" x14ac:dyDescent="0.45">
      <c r="A7" s="27" t="s">
        <v>279</v>
      </c>
      <c r="B7" s="28">
        <v>2</v>
      </c>
      <c r="C7" s="49">
        <v>17</v>
      </c>
      <c r="D7" s="49">
        <f t="shared" si="0"/>
        <v>34</v>
      </c>
    </row>
    <row r="8" spans="1:5" x14ac:dyDescent="0.45">
      <c r="A8" s="27" t="s">
        <v>280</v>
      </c>
      <c r="B8" s="28">
        <v>2</v>
      </c>
      <c r="C8" s="49">
        <v>75</v>
      </c>
      <c r="D8" s="49">
        <f t="shared" si="0"/>
        <v>150</v>
      </c>
    </row>
    <row r="9" spans="1:5" x14ac:dyDescent="0.45">
      <c r="A9" s="30" t="s">
        <v>281</v>
      </c>
      <c r="B9" s="28">
        <v>1</v>
      </c>
      <c r="C9" s="49">
        <v>120</v>
      </c>
      <c r="D9" s="49">
        <f t="shared" si="0"/>
        <v>120</v>
      </c>
    </row>
    <row r="10" spans="1:5" x14ac:dyDescent="0.45">
      <c r="A10" s="27" t="s">
        <v>282</v>
      </c>
      <c r="B10" s="28">
        <v>6</v>
      </c>
      <c r="C10" s="49">
        <v>19.989999999999998</v>
      </c>
      <c r="D10" s="49">
        <f t="shared" si="0"/>
        <v>119.94</v>
      </c>
    </row>
    <row r="11" spans="1:5" x14ac:dyDescent="0.45">
      <c r="A11" s="27" t="s">
        <v>283</v>
      </c>
      <c r="B11" s="28">
        <v>1</v>
      </c>
      <c r="C11" s="49">
        <v>110</v>
      </c>
      <c r="D11" s="49">
        <f t="shared" si="0"/>
        <v>110</v>
      </c>
    </row>
    <row r="12" spans="1:5" x14ac:dyDescent="0.45">
      <c r="A12" s="27" t="s">
        <v>284</v>
      </c>
      <c r="B12" s="28">
        <v>2</v>
      </c>
      <c r="C12" s="49">
        <v>20</v>
      </c>
      <c r="D12" s="49">
        <f t="shared" si="0"/>
        <v>40</v>
      </c>
    </row>
    <row r="13" spans="1:5" x14ac:dyDescent="0.45">
      <c r="A13" s="27" t="s">
        <v>285</v>
      </c>
      <c r="B13" s="28">
        <v>1</v>
      </c>
      <c r="C13" s="49">
        <v>354</v>
      </c>
      <c r="D13" s="49">
        <f t="shared" si="0"/>
        <v>354</v>
      </c>
    </row>
    <row r="14" spans="1:5" x14ac:dyDescent="0.45">
      <c r="A14" s="30" t="s">
        <v>286</v>
      </c>
      <c r="B14" s="28">
        <v>2</v>
      </c>
      <c r="C14" s="49">
        <v>125</v>
      </c>
      <c r="D14" s="49">
        <v>250</v>
      </c>
    </row>
    <row r="15" spans="1:5" ht="15.4" x14ac:dyDescent="0.45">
      <c r="A15" s="27" t="s">
        <v>287</v>
      </c>
      <c r="B15" s="31">
        <v>3</v>
      </c>
      <c r="C15" s="49">
        <v>9.99</v>
      </c>
      <c r="D15" s="49">
        <f t="shared" si="0"/>
        <v>29.97</v>
      </c>
    </row>
    <row r="16" spans="1:5" x14ac:dyDescent="0.45">
      <c r="A16" s="26" t="s">
        <v>26</v>
      </c>
      <c r="B16" s="25">
        <f>SUM(B3:B15)</f>
        <v>29</v>
      </c>
      <c r="C16" s="57">
        <f>SUM(C3:C15)</f>
        <v>1775.8600000000001</v>
      </c>
      <c r="D16" s="57">
        <f>SUM(D3:D15)</f>
        <v>3852.58</v>
      </c>
    </row>
  </sheetData>
  <mergeCells count="1">
    <mergeCell ref="A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8"/>
  <sheetViews>
    <sheetView workbookViewId="0">
      <selection activeCell="F18" sqref="F18"/>
    </sheetView>
  </sheetViews>
  <sheetFormatPr baseColWidth="10" defaultColWidth="11.3984375" defaultRowHeight="14.25" x14ac:dyDescent="0.45"/>
  <cols>
    <col min="1" max="1" width="24.265625" customWidth="1"/>
    <col min="2" max="2" width="16" customWidth="1"/>
    <col min="3" max="3" width="22.73046875" customWidth="1"/>
    <col min="4" max="4" width="19" customWidth="1"/>
  </cols>
  <sheetData>
    <row r="1" spans="1:4" ht="20.25" customHeight="1" thickBot="1" x14ac:dyDescent="0.5">
      <c r="A1" s="536" t="s">
        <v>288</v>
      </c>
      <c r="B1" s="538"/>
      <c r="C1" s="538"/>
      <c r="D1" s="537"/>
    </row>
    <row r="2" spans="1:4" x14ac:dyDescent="0.45">
      <c r="A2" s="51" t="s">
        <v>202</v>
      </c>
      <c r="B2" s="26" t="s">
        <v>203</v>
      </c>
      <c r="C2" s="26" t="s">
        <v>250</v>
      </c>
      <c r="D2" s="26" t="s">
        <v>251</v>
      </c>
    </row>
    <row r="3" spans="1:4" ht="14.65" thickBot="1" x14ac:dyDescent="0.5">
      <c r="A3" s="33" t="s">
        <v>289</v>
      </c>
      <c r="B3" s="34">
        <v>3</v>
      </c>
      <c r="C3" s="58">
        <v>8.4499999999999993</v>
      </c>
      <c r="D3" s="58">
        <f>B3*C3</f>
        <v>25.349999999999998</v>
      </c>
    </row>
    <row r="4" spans="1:4" ht="14.65" thickBot="1" x14ac:dyDescent="0.5">
      <c r="A4" s="33" t="s">
        <v>290</v>
      </c>
      <c r="B4" s="34">
        <v>3</v>
      </c>
      <c r="C4" s="58">
        <v>20</v>
      </c>
      <c r="D4" s="58">
        <f t="shared" ref="D4:D7" si="0">B4*C4</f>
        <v>60</v>
      </c>
    </row>
    <row r="5" spans="1:4" ht="14.65" thickBot="1" x14ac:dyDescent="0.5">
      <c r="A5" s="33" t="s">
        <v>291</v>
      </c>
      <c r="B5" s="34">
        <v>3</v>
      </c>
      <c r="C5" s="58">
        <v>15</v>
      </c>
      <c r="D5" s="58">
        <f t="shared" si="0"/>
        <v>45</v>
      </c>
    </row>
    <row r="6" spans="1:4" ht="14.65" thickBot="1" x14ac:dyDescent="0.5">
      <c r="A6" s="35" t="s">
        <v>292</v>
      </c>
      <c r="B6" s="34">
        <v>3</v>
      </c>
      <c r="C6" s="58">
        <v>13.8</v>
      </c>
      <c r="D6" s="58">
        <f t="shared" si="0"/>
        <v>41.400000000000006</v>
      </c>
    </row>
    <row r="7" spans="1:4" ht="14.65" thickBot="1" x14ac:dyDescent="0.5">
      <c r="A7" s="35" t="s">
        <v>293</v>
      </c>
      <c r="B7" s="34">
        <v>1</v>
      </c>
      <c r="C7" s="58">
        <v>9.99</v>
      </c>
      <c r="D7" s="58">
        <f t="shared" si="0"/>
        <v>9.99</v>
      </c>
    </row>
    <row r="8" spans="1:4" ht="14.65" thickBot="1" x14ac:dyDescent="0.5">
      <c r="A8" s="36" t="s">
        <v>26</v>
      </c>
      <c r="B8" s="32">
        <f>SUM(B3:B7)</f>
        <v>13</v>
      </c>
      <c r="C8" s="59">
        <f>SUM(C3:C7)</f>
        <v>67.239999999999995</v>
      </c>
      <c r="D8" s="59">
        <f>SUM(D3:D7)</f>
        <v>181.74</v>
      </c>
    </row>
  </sheetData>
  <mergeCells count="1">
    <mergeCell ref="A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0"/>
  <sheetViews>
    <sheetView workbookViewId="0">
      <selection activeCell="A2" sqref="A2:D10"/>
    </sheetView>
  </sheetViews>
  <sheetFormatPr baseColWidth="10" defaultColWidth="11.3984375" defaultRowHeight="14.25" x14ac:dyDescent="0.45"/>
  <cols>
    <col min="1" max="1" width="19.3984375" customWidth="1"/>
    <col min="2" max="2" width="17.59765625" customWidth="1"/>
    <col min="3" max="3" width="21.86328125" customWidth="1"/>
    <col min="4" max="4" width="18" customWidth="1"/>
  </cols>
  <sheetData>
    <row r="1" spans="1:4" ht="14.65" thickBot="1" x14ac:dyDescent="0.5">
      <c r="A1" s="536" t="s">
        <v>254</v>
      </c>
      <c r="B1" s="538"/>
      <c r="C1" s="538"/>
      <c r="D1" s="537"/>
    </row>
    <row r="2" spans="1:4" x14ac:dyDescent="0.45">
      <c r="A2" s="51" t="s">
        <v>202</v>
      </c>
      <c r="B2" s="26" t="s">
        <v>203</v>
      </c>
      <c r="C2" s="26" t="s">
        <v>250</v>
      </c>
      <c r="D2" s="26" t="s">
        <v>251</v>
      </c>
    </row>
    <row r="3" spans="1:4" ht="14.65" thickBot="1" x14ac:dyDescent="0.5">
      <c r="A3" s="33" t="s">
        <v>294</v>
      </c>
      <c r="B3" s="34">
        <v>1</v>
      </c>
      <c r="C3" s="58">
        <v>200</v>
      </c>
      <c r="D3" s="58">
        <f>B3*C3</f>
        <v>200</v>
      </c>
    </row>
    <row r="4" spans="1:4" ht="14.65" thickBot="1" x14ac:dyDescent="0.5">
      <c r="A4" s="33" t="s">
        <v>282</v>
      </c>
      <c r="B4" s="34">
        <v>6</v>
      </c>
      <c r="C4" s="58">
        <v>19.989999999999998</v>
      </c>
      <c r="D4" s="58">
        <f t="shared" ref="D4:D9" si="0">B4*C4</f>
        <v>119.94</v>
      </c>
    </row>
    <row r="5" spans="1:4" ht="14.65" thickBot="1" x14ac:dyDescent="0.5">
      <c r="A5" s="33" t="s">
        <v>295</v>
      </c>
      <c r="B5" s="34">
        <v>1</v>
      </c>
      <c r="C5" s="58">
        <v>45</v>
      </c>
      <c r="D5" s="58">
        <f t="shared" si="0"/>
        <v>45</v>
      </c>
    </row>
    <row r="6" spans="1:4" ht="14.65" thickBot="1" x14ac:dyDescent="0.5">
      <c r="A6" s="33" t="s">
        <v>279</v>
      </c>
      <c r="B6" s="34">
        <v>2</v>
      </c>
      <c r="C6" s="58">
        <v>17</v>
      </c>
      <c r="D6" s="58">
        <f t="shared" si="0"/>
        <v>34</v>
      </c>
    </row>
    <row r="7" spans="1:4" ht="14.65" thickBot="1" x14ac:dyDescent="0.5">
      <c r="A7" s="33" t="s">
        <v>280</v>
      </c>
      <c r="B7" s="34">
        <v>2</v>
      </c>
      <c r="C7" s="58">
        <v>75</v>
      </c>
      <c r="D7" s="58">
        <f t="shared" si="0"/>
        <v>150</v>
      </c>
    </row>
    <row r="8" spans="1:4" ht="14.65" thickBot="1" x14ac:dyDescent="0.5">
      <c r="A8" s="33" t="s">
        <v>284</v>
      </c>
      <c r="B8" s="34">
        <v>2</v>
      </c>
      <c r="C8" s="58">
        <v>20</v>
      </c>
      <c r="D8" s="58">
        <f t="shared" si="0"/>
        <v>40</v>
      </c>
    </row>
    <row r="9" spans="1:4" ht="14.65" thickBot="1" x14ac:dyDescent="0.5">
      <c r="A9" s="33" t="s">
        <v>287</v>
      </c>
      <c r="B9" s="34">
        <v>3</v>
      </c>
      <c r="C9" s="58">
        <v>9.99</v>
      </c>
      <c r="D9" s="58">
        <f t="shared" si="0"/>
        <v>29.97</v>
      </c>
    </row>
    <row r="10" spans="1:4" ht="14.65" thickBot="1" x14ac:dyDescent="0.5">
      <c r="A10" s="36" t="s">
        <v>26</v>
      </c>
      <c r="B10" s="37">
        <f>SUM(B3:B9)</f>
        <v>17</v>
      </c>
      <c r="C10" s="59">
        <f>SUM(C3:C9)</f>
        <v>386.98</v>
      </c>
      <c r="D10" s="59">
        <f>SUM(D3:D9)</f>
        <v>618.91000000000008</v>
      </c>
    </row>
  </sheetData>
  <mergeCells count="1">
    <mergeCell ref="A1: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4"/>
  <sheetViews>
    <sheetView workbookViewId="0">
      <selection activeCell="A2" sqref="A2:D14"/>
    </sheetView>
  </sheetViews>
  <sheetFormatPr baseColWidth="10" defaultColWidth="11.3984375" defaultRowHeight="14.25" x14ac:dyDescent="0.45"/>
  <cols>
    <col min="1" max="1" width="26.86328125" customWidth="1"/>
    <col min="2" max="2" width="18.1328125" customWidth="1"/>
    <col min="3" max="3" width="22.73046875" customWidth="1"/>
    <col min="4" max="4" width="17.73046875" customWidth="1"/>
  </cols>
  <sheetData>
    <row r="1" spans="1:4" ht="14.65" thickBot="1" x14ac:dyDescent="0.5">
      <c r="A1" s="536" t="s">
        <v>296</v>
      </c>
      <c r="B1" s="538"/>
      <c r="C1" s="538"/>
      <c r="D1" s="537"/>
    </row>
    <row r="2" spans="1:4" x14ac:dyDescent="0.45">
      <c r="A2" s="51" t="s">
        <v>202</v>
      </c>
      <c r="B2" s="26" t="s">
        <v>203</v>
      </c>
      <c r="C2" s="26" t="s">
        <v>250</v>
      </c>
      <c r="D2" s="26" t="s">
        <v>251</v>
      </c>
    </row>
    <row r="3" spans="1:4" ht="14.65" thickBot="1" x14ac:dyDescent="0.5">
      <c r="A3" s="33" t="s">
        <v>297</v>
      </c>
      <c r="B3" s="34">
        <v>1</v>
      </c>
      <c r="C3" s="60">
        <v>125</v>
      </c>
      <c r="D3" s="60">
        <f>B3*C3</f>
        <v>125</v>
      </c>
    </row>
    <row r="4" spans="1:4" ht="14.65" thickBot="1" x14ac:dyDescent="0.5">
      <c r="A4" s="33" t="s">
        <v>298</v>
      </c>
      <c r="B4" s="34">
        <v>8</v>
      </c>
      <c r="C4" s="60">
        <v>3</v>
      </c>
      <c r="D4" s="60">
        <f t="shared" ref="D4:D13" si="0">B4*C4</f>
        <v>24</v>
      </c>
    </row>
    <row r="5" spans="1:4" ht="14.65" thickBot="1" x14ac:dyDescent="0.5">
      <c r="A5" s="33" t="s">
        <v>299</v>
      </c>
      <c r="B5" s="34">
        <v>2</v>
      </c>
      <c r="C5" s="60">
        <v>50</v>
      </c>
      <c r="D5" s="60">
        <f t="shared" si="0"/>
        <v>100</v>
      </c>
    </row>
    <row r="6" spans="1:4" ht="14.65" thickBot="1" x14ac:dyDescent="0.5">
      <c r="A6" s="33" t="s">
        <v>300</v>
      </c>
      <c r="B6" s="34">
        <v>1</v>
      </c>
      <c r="C6" s="60">
        <v>5</v>
      </c>
      <c r="D6" s="60">
        <f t="shared" si="0"/>
        <v>5</v>
      </c>
    </row>
    <row r="7" spans="1:4" ht="14.65" thickBot="1" x14ac:dyDescent="0.5">
      <c r="A7" s="33" t="s">
        <v>301</v>
      </c>
      <c r="B7" s="34">
        <v>5</v>
      </c>
      <c r="C7" s="60">
        <v>20</v>
      </c>
      <c r="D7" s="60">
        <f t="shared" si="0"/>
        <v>100</v>
      </c>
    </row>
    <row r="8" spans="1:4" ht="14.65" thickBot="1" x14ac:dyDescent="0.5">
      <c r="A8" s="33" t="s">
        <v>302</v>
      </c>
      <c r="B8" s="34">
        <v>5</v>
      </c>
      <c r="C8" s="60">
        <v>30</v>
      </c>
      <c r="D8" s="60">
        <f t="shared" si="0"/>
        <v>150</v>
      </c>
    </row>
    <row r="9" spans="1:4" ht="14.65" thickBot="1" x14ac:dyDescent="0.5">
      <c r="A9" s="33" t="s">
        <v>303</v>
      </c>
      <c r="B9" s="34">
        <v>5</v>
      </c>
      <c r="C9" s="60">
        <v>5</v>
      </c>
      <c r="D9" s="60">
        <f t="shared" si="0"/>
        <v>25</v>
      </c>
    </row>
    <row r="10" spans="1:4" ht="14.65" thickBot="1" x14ac:dyDescent="0.5">
      <c r="A10" s="33" t="s">
        <v>304</v>
      </c>
      <c r="B10" s="34">
        <v>10</v>
      </c>
      <c r="C10" s="60">
        <v>6</v>
      </c>
      <c r="D10" s="60">
        <f t="shared" si="0"/>
        <v>60</v>
      </c>
    </row>
    <row r="11" spans="1:4" ht="14.65" thickBot="1" x14ac:dyDescent="0.5">
      <c r="A11" s="33" t="s">
        <v>305</v>
      </c>
      <c r="B11" s="34">
        <v>5</v>
      </c>
      <c r="C11" s="60">
        <v>8</v>
      </c>
      <c r="D11" s="60">
        <f t="shared" si="0"/>
        <v>40</v>
      </c>
    </row>
    <row r="12" spans="1:4" ht="14.65" thickBot="1" x14ac:dyDescent="0.5">
      <c r="A12" s="33" t="s">
        <v>306</v>
      </c>
      <c r="B12" s="34">
        <v>1</v>
      </c>
      <c r="C12" s="60">
        <v>12</v>
      </c>
      <c r="D12" s="60">
        <f t="shared" si="0"/>
        <v>12</v>
      </c>
    </row>
    <row r="13" spans="1:4" ht="14.65" thickBot="1" x14ac:dyDescent="0.5">
      <c r="A13" s="33" t="s">
        <v>307</v>
      </c>
      <c r="B13" s="34">
        <v>5</v>
      </c>
      <c r="C13" s="60">
        <v>6</v>
      </c>
      <c r="D13" s="60">
        <f t="shared" si="0"/>
        <v>30</v>
      </c>
    </row>
    <row r="14" spans="1:4" ht="14.65" thickBot="1" x14ac:dyDescent="0.5">
      <c r="A14" s="36" t="s">
        <v>26</v>
      </c>
      <c r="B14" s="32">
        <f>SUM(B3:B13)</f>
        <v>48</v>
      </c>
      <c r="C14" s="50">
        <f>SUM(C3:C13)</f>
        <v>270</v>
      </c>
      <c r="D14" s="50">
        <f>SUM(D3:D13)</f>
        <v>671</v>
      </c>
    </row>
  </sheetData>
  <mergeCells count="1">
    <mergeCell ref="A1:D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2"/>
  <sheetViews>
    <sheetView workbookViewId="0">
      <selection activeCell="A2" sqref="A2:D12"/>
    </sheetView>
  </sheetViews>
  <sheetFormatPr baseColWidth="10" defaultColWidth="11.3984375" defaultRowHeight="14.25" x14ac:dyDescent="0.45"/>
  <cols>
    <col min="1" max="1" width="53.3984375" customWidth="1"/>
    <col min="2" max="2" width="15.265625" style="39" customWidth="1"/>
    <col min="3" max="3" width="21.3984375" customWidth="1"/>
    <col min="4" max="4" width="21.265625" customWidth="1"/>
  </cols>
  <sheetData>
    <row r="1" spans="1:4" ht="14.65" thickBot="1" x14ac:dyDescent="0.5">
      <c r="A1" s="536" t="s">
        <v>270</v>
      </c>
      <c r="B1" s="538"/>
      <c r="C1" s="538"/>
      <c r="D1" s="537"/>
    </row>
    <row r="2" spans="1:4" x14ac:dyDescent="0.45">
      <c r="A2" s="51" t="s">
        <v>202</v>
      </c>
      <c r="B2" s="26" t="s">
        <v>203</v>
      </c>
      <c r="C2" s="26" t="s">
        <v>250</v>
      </c>
      <c r="D2" s="26" t="s">
        <v>251</v>
      </c>
    </row>
    <row r="3" spans="1:4" x14ac:dyDescent="0.45">
      <c r="A3" s="27" t="s">
        <v>273</v>
      </c>
      <c r="B3" s="28">
        <v>1</v>
      </c>
      <c r="C3" s="49">
        <v>19.989999999999998</v>
      </c>
      <c r="D3" s="49">
        <f>B3*C3</f>
        <v>19.989999999999998</v>
      </c>
    </row>
    <row r="4" spans="1:4" x14ac:dyDescent="0.45">
      <c r="A4" s="27" t="s">
        <v>308</v>
      </c>
      <c r="B4" s="28">
        <v>5</v>
      </c>
      <c r="C4" s="49">
        <v>5.3</v>
      </c>
      <c r="D4" s="49">
        <f t="shared" ref="D4:D11" si="0">B4*C4</f>
        <v>26.5</v>
      </c>
    </row>
    <row r="5" spans="1:4" x14ac:dyDescent="0.45">
      <c r="A5" s="27" t="s">
        <v>277</v>
      </c>
      <c r="B5" s="28">
        <v>1</v>
      </c>
      <c r="C5" s="49">
        <v>149.9</v>
      </c>
      <c r="D5" s="49">
        <f t="shared" si="0"/>
        <v>149.9</v>
      </c>
    </row>
    <row r="6" spans="1:4" x14ac:dyDescent="0.45">
      <c r="A6" s="27" t="s">
        <v>280</v>
      </c>
      <c r="B6" s="28">
        <v>2</v>
      </c>
      <c r="C6" s="49">
        <v>75</v>
      </c>
      <c r="D6" s="49">
        <f t="shared" si="0"/>
        <v>150</v>
      </c>
    </row>
    <row r="7" spans="1:4" x14ac:dyDescent="0.45">
      <c r="A7" s="27" t="s">
        <v>282</v>
      </c>
      <c r="B7" s="28">
        <v>1</v>
      </c>
      <c r="C7" s="49">
        <v>19.989999999999998</v>
      </c>
      <c r="D7" s="49">
        <f t="shared" si="0"/>
        <v>19.989999999999998</v>
      </c>
    </row>
    <row r="8" spans="1:4" x14ac:dyDescent="0.45">
      <c r="A8" s="27" t="s">
        <v>205</v>
      </c>
      <c r="B8" s="48">
        <v>1</v>
      </c>
      <c r="C8" s="53">
        <v>409.37</v>
      </c>
      <c r="D8" s="49">
        <f t="shared" si="0"/>
        <v>409.37</v>
      </c>
    </row>
    <row r="9" spans="1:4" x14ac:dyDescent="0.45">
      <c r="A9" s="27" t="s">
        <v>309</v>
      </c>
      <c r="B9" s="48">
        <v>1</v>
      </c>
      <c r="C9" s="53">
        <v>273.60000000000002</v>
      </c>
      <c r="D9" s="49">
        <f t="shared" si="0"/>
        <v>273.60000000000002</v>
      </c>
    </row>
    <row r="10" spans="1:4" x14ac:dyDescent="0.45">
      <c r="A10" s="27" t="s">
        <v>310</v>
      </c>
      <c r="B10" s="48">
        <v>1</v>
      </c>
      <c r="C10" s="53">
        <v>140</v>
      </c>
      <c r="D10" s="49">
        <f t="shared" si="0"/>
        <v>140</v>
      </c>
    </row>
    <row r="11" spans="1:4" x14ac:dyDescent="0.45">
      <c r="A11" s="30" t="s">
        <v>286</v>
      </c>
      <c r="B11" s="28">
        <v>2</v>
      </c>
      <c r="C11" s="49">
        <v>125</v>
      </c>
      <c r="D11" s="49">
        <f t="shared" si="0"/>
        <v>250</v>
      </c>
    </row>
    <row r="12" spans="1:4" x14ac:dyDescent="0.45">
      <c r="A12" s="26" t="s">
        <v>26</v>
      </c>
      <c r="B12" s="25">
        <f>SUM(B3:B11)</f>
        <v>15</v>
      </c>
      <c r="C12" s="57">
        <f>SUM(C3:C11)</f>
        <v>1218.1500000000001</v>
      </c>
      <c r="D12" s="57">
        <f>SUM(D3:D11)</f>
        <v>1439.35</v>
      </c>
    </row>
  </sheetData>
  <mergeCells count="1">
    <mergeCell ref="A1:D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12"/>
  <sheetViews>
    <sheetView workbookViewId="0">
      <selection activeCell="A2" sqref="A2:D12"/>
    </sheetView>
  </sheetViews>
  <sheetFormatPr baseColWidth="10" defaultColWidth="11.3984375" defaultRowHeight="14.25" x14ac:dyDescent="0.45"/>
  <cols>
    <col min="1" max="1" width="25" customWidth="1"/>
    <col min="2" max="2" width="13.86328125" customWidth="1"/>
    <col min="3" max="3" width="21.265625" customWidth="1"/>
    <col min="4" max="4" width="17.86328125" customWidth="1"/>
  </cols>
  <sheetData>
    <row r="1" spans="1:4" ht="19.5" customHeight="1" thickBot="1" x14ac:dyDescent="0.5">
      <c r="A1" s="536" t="s">
        <v>257</v>
      </c>
      <c r="B1" s="538"/>
      <c r="C1" s="538"/>
      <c r="D1" s="537"/>
    </row>
    <row r="2" spans="1:4" x14ac:dyDescent="0.45">
      <c r="A2" s="51" t="s">
        <v>202</v>
      </c>
      <c r="B2" s="26" t="s">
        <v>203</v>
      </c>
      <c r="C2" s="26" t="s">
        <v>250</v>
      </c>
      <c r="D2" s="26" t="s">
        <v>251</v>
      </c>
    </row>
    <row r="3" spans="1:4" x14ac:dyDescent="0.45">
      <c r="A3" s="41" t="s">
        <v>311</v>
      </c>
      <c r="B3" s="28">
        <v>15</v>
      </c>
      <c r="C3" s="49">
        <v>5</v>
      </c>
      <c r="D3" s="49">
        <f t="shared" ref="D3:D11" si="0">B3*C3</f>
        <v>75</v>
      </c>
    </row>
    <row r="4" spans="1:4" x14ac:dyDescent="0.45">
      <c r="A4" s="41" t="s">
        <v>312</v>
      </c>
      <c r="B4" s="28">
        <v>1</v>
      </c>
      <c r="C4" s="49">
        <v>19.5</v>
      </c>
      <c r="D4" s="49">
        <f t="shared" si="0"/>
        <v>19.5</v>
      </c>
    </row>
    <row r="5" spans="1:4" x14ac:dyDescent="0.45">
      <c r="A5" s="41" t="s">
        <v>313</v>
      </c>
      <c r="B5" s="28">
        <v>2</v>
      </c>
      <c r="C5" s="49">
        <v>40</v>
      </c>
      <c r="D5" s="49">
        <f t="shared" si="0"/>
        <v>80</v>
      </c>
    </row>
    <row r="6" spans="1:4" x14ac:dyDescent="0.45">
      <c r="A6" s="41" t="s">
        <v>314</v>
      </c>
      <c r="B6" s="28">
        <v>2</v>
      </c>
      <c r="C6" s="49">
        <v>20</v>
      </c>
      <c r="D6" s="49">
        <f t="shared" si="0"/>
        <v>40</v>
      </c>
    </row>
    <row r="7" spans="1:4" ht="27.75" x14ac:dyDescent="0.45">
      <c r="A7" s="42" t="s">
        <v>277</v>
      </c>
      <c r="B7" s="28">
        <v>1</v>
      </c>
      <c r="C7" s="49">
        <v>149.9</v>
      </c>
      <c r="D7" s="49">
        <f t="shared" si="0"/>
        <v>149.9</v>
      </c>
    </row>
    <row r="8" spans="1:4" x14ac:dyDescent="0.45">
      <c r="A8" s="43" t="s">
        <v>286</v>
      </c>
      <c r="B8" s="28">
        <v>2</v>
      </c>
      <c r="C8" s="49">
        <v>125</v>
      </c>
      <c r="D8" s="49">
        <f t="shared" si="0"/>
        <v>250</v>
      </c>
    </row>
    <row r="9" spans="1:4" x14ac:dyDescent="0.45">
      <c r="A9" s="38" t="s">
        <v>205</v>
      </c>
      <c r="B9" s="48">
        <v>1</v>
      </c>
      <c r="C9" s="53">
        <v>409.37</v>
      </c>
      <c r="D9" s="49">
        <f t="shared" si="0"/>
        <v>409.37</v>
      </c>
    </row>
    <row r="10" spans="1:4" x14ac:dyDescent="0.45">
      <c r="A10" s="42" t="s">
        <v>309</v>
      </c>
      <c r="B10" s="48">
        <v>1</v>
      </c>
      <c r="C10" s="53">
        <v>273.60000000000002</v>
      </c>
      <c r="D10" s="49">
        <f t="shared" si="0"/>
        <v>273.60000000000002</v>
      </c>
    </row>
    <row r="11" spans="1:4" x14ac:dyDescent="0.45">
      <c r="A11" s="41" t="s">
        <v>287</v>
      </c>
      <c r="B11" s="28">
        <v>3</v>
      </c>
      <c r="C11" s="49">
        <v>9.99</v>
      </c>
      <c r="D11" s="49">
        <f t="shared" si="0"/>
        <v>29.97</v>
      </c>
    </row>
    <row r="12" spans="1:4" x14ac:dyDescent="0.45">
      <c r="A12" s="40" t="s">
        <v>26</v>
      </c>
      <c r="B12" s="25">
        <f>SUM(B3:B11)</f>
        <v>28</v>
      </c>
      <c r="C12" s="57">
        <f>SUM(C3:C11)</f>
        <v>1052.3599999999999</v>
      </c>
      <c r="D12" s="57">
        <f>SUM(D3:D11)</f>
        <v>1327.34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A34"/>
  <sheetViews>
    <sheetView workbookViewId="0">
      <selection activeCell="E20" sqref="E20:I20"/>
    </sheetView>
  </sheetViews>
  <sheetFormatPr baseColWidth="10" defaultColWidth="11.3984375" defaultRowHeight="14.25" x14ac:dyDescent="0.45"/>
  <cols>
    <col min="1" max="1" width="3.86328125" customWidth="1"/>
    <col min="4" max="4" width="8.1328125" customWidth="1"/>
    <col min="5" max="5" width="4.1328125" customWidth="1"/>
    <col min="6" max="6" width="3.73046875" customWidth="1"/>
    <col min="7" max="7" width="3.265625" customWidth="1"/>
    <col min="8" max="8" width="4.59765625" customWidth="1"/>
    <col min="9" max="10" width="3.1328125" customWidth="1"/>
    <col min="11" max="11" width="2.86328125" customWidth="1"/>
    <col min="12" max="12" width="4" customWidth="1"/>
    <col min="13" max="13" width="3.73046875" hidden="1" customWidth="1"/>
    <col min="14" max="14" width="3.59765625" hidden="1" customWidth="1"/>
    <col min="15" max="15" width="3.73046875" customWidth="1"/>
    <col min="16" max="16" width="3.59765625" hidden="1" customWidth="1"/>
    <col min="17" max="17" width="4" customWidth="1"/>
    <col min="18" max="18" width="3.3984375" customWidth="1"/>
    <col min="19" max="19" width="3.265625" customWidth="1"/>
    <col min="20" max="20" width="2.86328125" customWidth="1"/>
    <col min="21" max="21" width="3.265625" customWidth="1"/>
    <col min="22" max="22" width="2.59765625" customWidth="1"/>
    <col min="23" max="23" width="2.3984375" customWidth="1"/>
    <col min="24" max="24" width="4.1328125" customWidth="1"/>
    <col min="25" max="27" width="4.59765625" customWidth="1"/>
  </cols>
  <sheetData>
    <row r="2" spans="1:27" s="20" customFormat="1" x14ac:dyDescent="0.45">
      <c r="A2" s="14" t="s">
        <v>27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6"/>
    </row>
    <row r="3" spans="1:27" x14ac:dyDescent="0.45">
      <c r="A3" s="1"/>
      <c r="B3" s="490" t="s">
        <v>28</v>
      </c>
      <c r="C3" s="490"/>
      <c r="D3" s="490"/>
      <c r="E3" s="491" t="s">
        <v>29</v>
      </c>
      <c r="F3" s="491"/>
      <c r="G3" s="491"/>
      <c r="H3" s="491"/>
      <c r="I3" s="491"/>
      <c r="J3" s="491" t="s">
        <v>30</v>
      </c>
      <c r="K3" s="491"/>
      <c r="L3" s="491"/>
      <c r="M3" s="491"/>
      <c r="N3" s="491"/>
      <c r="O3" s="488" t="s">
        <v>31</v>
      </c>
      <c r="P3" s="488"/>
      <c r="Q3" s="488"/>
      <c r="R3" s="488"/>
      <c r="S3" s="488" t="s">
        <v>32</v>
      </c>
      <c r="T3" s="488"/>
      <c r="U3" s="488"/>
      <c r="V3" s="488" t="s">
        <v>33</v>
      </c>
      <c r="W3" s="488"/>
      <c r="X3" s="488"/>
      <c r="Y3" s="488" t="s">
        <v>34</v>
      </c>
      <c r="Z3" s="488"/>
      <c r="AA3" s="488"/>
    </row>
    <row r="4" spans="1:27" x14ac:dyDescent="0.45">
      <c r="A4" s="1">
        <v>1</v>
      </c>
      <c r="B4" s="489" t="s">
        <v>4</v>
      </c>
      <c r="C4" s="489"/>
      <c r="D4" s="489"/>
      <c r="E4" s="488">
        <v>100</v>
      </c>
      <c r="F4" s="488"/>
      <c r="G4" s="488"/>
      <c r="H4" s="488"/>
      <c r="I4" s="488"/>
      <c r="J4" s="488"/>
      <c r="K4" s="488"/>
      <c r="L4" s="488"/>
      <c r="M4" s="5"/>
      <c r="N4" s="5"/>
      <c r="O4" s="488"/>
      <c r="P4" s="488"/>
      <c r="Q4" s="488"/>
      <c r="R4" s="488"/>
      <c r="S4" s="488"/>
      <c r="T4" s="488"/>
      <c r="U4" s="488"/>
      <c r="V4" s="488">
        <v>10</v>
      </c>
      <c r="W4" s="488"/>
      <c r="X4" s="488"/>
      <c r="Y4" s="488"/>
      <c r="Z4" s="488"/>
      <c r="AA4" s="488"/>
    </row>
    <row r="5" spans="1:27" x14ac:dyDescent="0.45">
      <c r="A5" s="1">
        <f>A4+1</f>
        <v>2</v>
      </c>
      <c r="B5" s="489" t="s">
        <v>5</v>
      </c>
      <c r="C5" s="489"/>
      <c r="D5" s="489"/>
      <c r="E5" s="488">
        <v>50</v>
      </c>
      <c r="F5" s="488"/>
      <c r="G5" s="488"/>
      <c r="H5" s="488"/>
      <c r="I5" s="488"/>
      <c r="J5" s="488">
        <v>10</v>
      </c>
      <c r="K5" s="488"/>
      <c r="L5" s="488"/>
      <c r="M5" s="5"/>
      <c r="N5" s="5"/>
      <c r="O5" s="488">
        <v>10</v>
      </c>
      <c r="P5" s="488"/>
      <c r="Q5" s="488"/>
      <c r="R5" s="488"/>
      <c r="S5" s="488">
        <v>10</v>
      </c>
      <c r="T5" s="488"/>
      <c r="U5" s="488"/>
      <c r="V5" s="488">
        <v>50</v>
      </c>
      <c r="W5" s="488"/>
      <c r="X5" s="488"/>
      <c r="Y5" s="488"/>
      <c r="Z5" s="488"/>
      <c r="AA5" s="488"/>
    </row>
    <row r="6" spans="1:27" x14ac:dyDescent="0.45">
      <c r="A6" s="1">
        <f t="shared" ref="A6:A31" si="0">A5+1</f>
        <v>3</v>
      </c>
      <c r="B6" s="2" t="s">
        <v>6</v>
      </c>
      <c r="C6" s="2"/>
      <c r="D6" s="2"/>
      <c r="E6" s="488">
        <v>10</v>
      </c>
      <c r="F6" s="488"/>
      <c r="G6" s="488"/>
      <c r="H6" s="488"/>
      <c r="I6" s="488"/>
      <c r="J6" s="492">
        <v>10</v>
      </c>
      <c r="K6" s="492"/>
      <c r="L6" s="492"/>
      <c r="M6" s="5"/>
      <c r="N6" s="5"/>
      <c r="O6" s="488"/>
      <c r="P6" s="488"/>
      <c r="Q6" s="488"/>
      <c r="R6" s="488"/>
      <c r="S6" s="488"/>
      <c r="T6" s="488"/>
      <c r="U6" s="488"/>
      <c r="V6" s="488"/>
      <c r="W6" s="488"/>
      <c r="X6" s="488"/>
      <c r="Y6" s="488"/>
      <c r="Z6" s="488"/>
      <c r="AA6" s="488"/>
    </row>
    <row r="7" spans="1:27" x14ac:dyDescent="0.45">
      <c r="A7" s="1">
        <f t="shared" si="0"/>
        <v>4</v>
      </c>
      <c r="B7" s="489" t="s">
        <v>7</v>
      </c>
      <c r="C7" s="489"/>
      <c r="D7" s="489"/>
      <c r="E7" s="488">
        <v>100</v>
      </c>
      <c r="F7" s="488"/>
      <c r="G7" s="488"/>
      <c r="H7" s="488"/>
      <c r="I7" s="488"/>
      <c r="J7" s="488"/>
      <c r="K7" s="488"/>
      <c r="L7" s="488"/>
      <c r="M7" s="5"/>
      <c r="N7" s="5"/>
      <c r="O7" s="488"/>
      <c r="P7" s="488"/>
      <c r="Q7" s="488"/>
      <c r="R7" s="488"/>
      <c r="S7" s="488"/>
      <c r="T7" s="488"/>
      <c r="U7" s="488"/>
      <c r="V7" s="488"/>
      <c r="W7" s="488"/>
      <c r="X7" s="488"/>
      <c r="Y7" s="488"/>
      <c r="Z7" s="488"/>
      <c r="AA7" s="488"/>
    </row>
    <row r="8" spans="1:27" x14ac:dyDescent="0.45">
      <c r="A8" s="1">
        <f t="shared" si="0"/>
        <v>5</v>
      </c>
      <c r="B8" s="489" t="s">
        <v>8</v>
      </c>
      <c r="C8" s="489"/>
      <c r="D8" s="489"/>
      <c r="E8" s="488">
        <v>50</v>
      </c>
      <c r="F8" s="488"/>
      <c r="G8" s="488"/>
      <c r="H8" s="488"/>
      <c r="I8" s="488"/>
      <c r="J8" s="488">
        <v>10</v>
      </c>
      <c r="K8" s="488"/>
      <c r="L8" s="488"/>
      <c r="M8" s="5"/>
      <c r="N8" s="5"/>
      <c r="O8" s="488"/>
      <c r="P8" s="488"/>
      <c r="Q8" s="488"/>
      <c r="R8" s="488"/>
      <c r="S8" s="488">
        <v>10</v>
      </c>
      <c r="T8" s="488"/>
      <c r="U8" s="488"/>
      <c r="V8" s="488">
        <v>50</v>
      </c>
      <c r="W8" s="488"/>
      <c r="X8" s="488"/>
      <c r="Y8" s="488"/>
      <c r="Z8" s="488"/>
      <c r="AA8" s="488"/>
    </row>
    <row r="9" spans="1:27" x14ac:dyDescent="0.45">
      <c r="A9" s="1">
        <f t="shared" si="0"/>
        <v>6</v>
      </c>
      <c r="B9" s="489" t="s">
        <v>9</v>
      </c>
      <c r="C9" s="489"/>
      <c r="D9" s="489"/>
      <c r="E9" s="488">
        <v>20</v>
      </c>
      <c r="F9" s="488"/>
      <c r="G9" s="488"/>
      <c r="H9" s="488"/>
      <c r="I9" s="488"/>
      <c r="J9" s="488"/>
      <c r="K9" s="488"/>
      <c r="L9" s="488"/>
      <c r="M9" s="5"/>
      <c r="N9" s="5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8"/>
      <c r="Z9" s="488"/>
      <c r="AA9" s="488"/>
    </row>
    <row r="10" spans="1:27" x14ac:dyDescent="0.45">
      <c r="A10" s="1">
        <f t="shared" si="0"/>
        <v>7</v>
      </c>
      <c r="B10" s="489" t="s">
        <v>10</v>
      </c>
      <c r="C10" s="489"/>
      <c r="D10" s="489"/>
      <c r="E10" s="488">
        <v>300</v>
      </c>
      <c r="F10" s="488"/>
      <c r="G10" s="488"/>
      <c r="H10" s="488"/>
      <c r="I10" s="488"/>
      <c r="J10" s="488"/>
      <c r="K10" s="488"/>
      <c r="L10" s="488"/>
      <c r="M10" s="5"/>
      <c r="N10" s="5"/>
      <c r="O10" s="488"/>
      <c r="P10" s="488"/>
      <c r="Q10" s="488"/>
      <c r="R10" s="488"/>
      <c r="S10" s="488"/>
      <c r="T10" s="488"/>
      <c r="U10" s="488"/>
      <c r="V10" s="488">
        <v>200</v>
      </c>
      <c r="W10" s="488"/>
      <c r="X10" s="488"/>
      <c r="Y10" s="488"/>
      <c r="Z10" s="488"/>
      <c r="AA10" s="488"/>
    </row>
    <row r="11" spans="1:27" ht="15" customHeight="1" x14ac:dyDescent="0.45">
      <c r="A11" s="1">
        <f t="shared" si="0"/>
        <v>8</v>
      </c>
      <c r="B11" s="493" t="s">
        <v>11</v>
      </c>
      <c r="C11" s="493"/>
      <c r="D11" s="493"/>
      <c r="E11" s="488">
        <v>100</v>
      </c>
      <c r="F11" s="488"/>
      <c r="G11" s="488"/>
      <c r="H11" s="488"/>
      <c r="I11" s="488"/>
      <c r="J11" s="488">
        <v>10</v>
      </c>
      <c r="K11" s="488"/>
      <c r="L11" s="488"/>
      <c r="M11" s="5"/>
      <c r="N11" s="5"/>
      <c r="O11" s="488">
        <v>10</v>
      </c>
      <c r="P11" s="488"/>
      <c r="Q11" s="488"/>
      <c r="R11" s="488"/>
      <c r="S11" s="488">
        <v>10</v>
      </c>
      <c r="T11" s="488"/>
      <c r="U11" s="488"/>
      <c r="V11" s="488">
        <v>40</v>
      </c>
      <c r="W11" s="488"/>
      <c r="X11" s="488"/>
      <c r="Y11" s="488"/>
      <c r="Z11" s="488"/>
      <c r="AA11" s="488"/>
    </row>
    <row r="12" spans="1:27" x14ac:dyDescent="0.45">
      <c r="A12" s="1">
        <f t="shared" si="0"/>
        <v>9</v>
      </c>
      <c r="B12" s="489" t="s">
        <v>12</v>
      </c>
      <c r="C12" s="489"/>
      <c r="D12" s="489"/>
      <c r="E12" s="488">
        <v>10</v>
      </c>
      <c r="F12" s="488"/>
      <c r="G12" s="488"/>
      <c r="H12" s="488"/>
      <c r="I12" s="488"/>
      <c r="J12" s="488">
        <v>10</v>
      </c>
      <c r="K12" s="488"/>
      <c r="L12" s="488"/>
      <c r="M12" s="5"/>
      <c r="N12" s="5"/>
      <c r="O12" s="488"/>
      <c r="P12" s="488"/>
      <c r="Q12" s="488"/>
      <c r="R12" s="488"/>
      <c r="S12" s="488"/>
      <c r="T12" s="488"/>
      <c r="U12" s="488"/>
      <c r="V12" s="488"/>
      <c r="W12" s="488"/>
      <c r="X12" s="488"/>
      <c r="Y12" s="488"/>
      <c r="Z12" s="488"/>
      <c r="AA12" s="488"/>
    </row>
    <row r="13" spans="1:27" x14ac:dyDescent="0.45">
      <c r="A13" s="3">
        <f t="shared" si="0"/>
        <v>10</v>
      </c>
      <c r="B13" s="495" t="s">
        <v>13</v>
      </c>
      <c r="C13" s="496"/>
      <c r="D13" s="497"/>
      <c r="E13" s="494">
        <v>80</v>
      </c>
      <c r="F13" s="494"/>
      <c r="G13" s="494"/>
      <c r="H13" s="494"/>
      <c r="I13" s="494"/>
      <c r="J13" s="494">
        <v>10</v>
      </c>
      <c r="K13" s="494"/>
      <c r="L13" s="494"/>
      <c r="M13" s="6"/>
      <c r="N13" s="6"/>
      <c r="O13" s="494">
        <v>10</v>
      </c>
      <c r="P13" s="494"/>
      <c r="Q13" s="494"/>
      <c r="R13" s="494"/>
      <c r="S13" s="494">
        <v>10</v>
      </c>
      <c r="T13" s="494"/>
      <c r="U13" s="494"/>
      <c r="V13" s="494">
        <v>40</v>
      </c>
      <c r="W13" s="494"/>
      <c r="X13" s="494"/>
      <c r="Y13" s="494"/>
      <c r="Z13" s="494"/>
      <c r="AA13" s="494"/>
    </row>
    <row r="14" spans="1:27" ht="15" customHeight="1" x14ac:dyDescent="0.45">
      <c r="A14" s="1">
        <f t="shared" si="0"/>
        <v>11</v>
      </c>
      <c r="B14" s="493" t="s">
        <v>14</v>
      </c>
      <c r="C14" s="493"/>
      <c r="D14" s="493"/>
      <c r="E14" s="488">
        <v>300</v>
      </c>
      <c r="F14" s="488"/>
      <c r="G14" s="488"/>
      <c r="H14" s="488"/>
      <c r="I14" s="488"/>
      <c r="J14" s="488">
        <v>10</v>
      </c>
      <c r="K14" s="488"/>
      <c r="L14" s="488"/>
      <c r="M14" s="5"/>
      <c r="N14" s="5"/>
      <c r="O14" s="488"/>
      <c r="P14" s="488"/>
      <c r="Q14" s="488"/>
      <c r="R14" s="488"/>
      <c r="S14" s="488"/>
      <c r="T14" s="488"/>
      <c r="U14" s="488"/>
      <c r="V14" s="488">
        <v>100</v>
      </c>
      <c r="W14" s="488"/>
      <c r="X14" s="488"/>
      <c r="Y14" s="488"/>
      <c r="Z14" s="488"/>
      <c r="AA14" s="488"/>
    </row>
    <row r="15" spans="1:27" ht="15.75" customHeight="1" x14ac:dyDescent="0.45">
      <c r="A15" s="1">
        <f t="shared" si="0"/>
        <v>12</v>
      </c>
      <c r="B15" s="498" t="s">
        <v>15</v>
      </c>
      <c r="C15" s="498"/>
      <c r="D15" s="498"/>
      <c r="E15" s="488">
        <v>130</v>
      </c>
      <c r="F15" s="488"/>
      <c r="G15" s="488"/>
      <c r="H15" s="488"/>
      <c r="I15" s="488"/>
      <c r="J15" s="488">
        <v>50</v>
      </c>
      <c r="K15" s="488"/>
      <c r="L15" s="488"/>
      <c r="M15" s="5"/>
      <c r="N15" s="5"/>
      <c r="O15" s="488"/>
      <c r="P15" s="488"/>
      <c r="Q15" s="488"/>
      <c r="R15" s="488"/>
      <c r="S15" s="488"/>
      <c r="T15" s="488"/>
      <c r="U15" s="488"/>
      <c r="V15" s="488">
        <v>100</v>
      </c>
      <c r="W15" s="488"/>
      <c r="X15" s="488"/>
      <c r="Y15" s="488"/>
      <c r="Z15" s="488"/>
      <c r="AA15" s="488"/>
    </row>
    <row r="16" spans="1:27" ht="15" customHeight="1" x14ac:dyDescent="0.45">
      <c r="A16" s="1">
        <f t="shared" si="0"/>
        <v>13</v>
      </c>
      <c r="B16" s="493" t="s">
        <v>16</v>
      </c>
      <c r="C16" s="493"/>
      <c r="D16" s="493"/>
      <c r="E16" s="488">
        <v>50</v>
      </c>
      <c r="F16" s="488"/>
      <c r="G16" s="488"/>
      <c r="H16" s="488"/>
      <c r="I16" s="488"/>
      <c r="J16" s="488">
        <v>10</v>
      </c>
      <c r="K16" s="488"/>
      <c r="L16" s="488"/>
      <c r="M16" s="5"/>
      <c r="N16" s="5"/>
      <c r="O16" s="488">
        <v>10</v>
      </c>
      <c r="P16" s="488"/>
      <c r="Q16" s="488"/>
      <c r="R16" s="488"/>
      <c r="S16" s="488"/>
      <c r="T16" s="488"/>
      <c r="U16" s="488"/>
      <c r="V16" s="488">
        <v>10</v>
      </c>
      <c r="W16" s="488"/>
      <c r="X16" s="488"/>
      <c r="Y16" s="488"/>
      <c r="Z16" s="488"/>
      <c r="AA16" s="488"/>
    </row>
    <row r="17" spans="1:27" ht="15" customHeight="1" x14ac:dyDescent="0.45">
      <c r="A17" s="1">
        <f t="shared" si="0"/>
        <v>14</v>
      </c>
      <c r="B17" s="493" t="s">
        <v>17</v>
      </c>
      <c r="C17" s="493"/>
      <c r="D17" s="493"/>
      <c r="E17" s="488">
        <v>150</v>
      </c>
      <c r="F17" s="488"/>
      <c r="G17" s="488"/>
      <c r="H17" s="488"/>
      <c r="I17" s="488"/>
      <c r="J17" s="488"/>
      <c r="K17" s="488"/>
      <c r="L17" s="488"/>
      <c r="M17" s="5"/>
      <c r="N17" s="5"/>
      <c r="O17" s="488"/>
      <c r="P17" s="488"/>
      <c r="Q17" s="488"/>
      <c r="R17" s="488"/>
      <c r="S17" s="488">
        <v>10</v>
      </c>
      <c r="T17" s="488"/>
      <c r="U17" s="488"/>
      <c r="V17" s="488"/>
      <c r="W17" s="488"/>
      <c r="X17" s="488"/>
      <c r="Y17" s="488"/>
      <c r="Z17" s="488"/>
      <c r="AA17" s="488"/>
    </row>
    <row r="18" spans="1:27" x14ac:dyDescent="0.45">
      <c r="A18" s="1">
        <f t="shared" si="0"/>
        <v>15</v>
      </c>
      <c r="B18" s="489" t="s">
        <v>18</v>
      </c>
      <c r="C18" s="489"/>
      <c r="D18" s="489"/>
      <c r="E18" s="488">
        <v>10</v>
      </c>
      <c r="F18" s="488"/>
      <c r="G18" s="488"/>
      <c r="H18" s="488"/>
      <c r="I18" s="488"/>
      <c r="J18" s="488">
        <v>20</v>
      </c>
      <c r="K18" s="488"/>
      <c r="L18" s="488"/>
      <c r="M18" s="5"/>
      <c r="N18" s="5"/>
      <c r="O18" s="488"/>
      <c r="P18" s="488"/>
      <c r="Q18" s="488"/>
      <c r="R18" s="488"/>
      <c r="S18" s="488">
        <v>10</v>
      </c>
      <c r="T18" s="488"/>
      <c r="U18" s="488"/>
      <c r="V18" s="488">
        <v>70</v>
      </c>
      <c r="W18" s="488"/>
      <c r="X18" s="488"/>
      <c r="Y18" s="488"/>
      <c r="Z18" s="488"/>
      <c r="AA18" s="488"/>
    </row>
    <row r="19" spans="1:27" x14ac:dyDescent="0.45">
      <c r="A19" s="1">
        <f t="shared" si="0"/>
        <v>16</v>
      </c>
      <c r="B19" s="489" t="s">
        <v>19</v>
      </c>
      <c r="C19" s="489"/>
      <c r="D19" s="489"/>
      <c r="E19" s="488">
        <v>10</v>
      </c>
      <c r="F19" s="488"/>
      <c r="G19" s="488"/>
      <c r="H19" s="488"/>
      <c r="I19" s="488"/>
      <c r="J19" s="488"/>
      <c r="K19" s="488"/>
      <c r="L19" s="488"/>
      <c r="M19" s="5"/>
      <c r="N19" s="5"/>
      <c r="O19" s="488"/>
      <c r="P19" s="488"/>
      <c r="Q19" s="488"/>
      <c r="R19" s="488"/>
      <c r="S19" s="488">
        <v>10</v>
      </c>
      <c r="T19" s="488"/>
      <c r="U19" s="488"/>
      <c r="V19" s="488">
        <v>10</v>
      </c>
      <c r="W19" s="488"/>
      <c r="X19" s="488"/>
      <c r="Y19" s="488"/>
      <c r="Z19" s="488"/>
      <c r="AA19" s="488"/>
    </row>
    <row r="20" spans="1:27" ht="15" customHeight="1" x14ac:dyDescent="0.45">
      <c r="A20" s="1">
        <f t="shared" si="0"/>
        <v>17</v>
      </c>
      <c r="B20" s="493" t="s">
        <v>20</v>
      </c>
      <c r="C20" s="493"/>
      <c r="D20" s="493"/>
      <c r="E20" s="499">
        <v>10</v>
      </c>
      <c r="F20" s="499"/>
      <c r="G20" s="499"/>
      <c r="H20" s="499"/>
      <c r="I20" s="499"/>
      <c r="J20" s="488">
        <v>10</v>
      </c>
      <c r="K20" s="488"/>
      <c r="L20" s="488"/>
      <c r="M20" s="5"/>
      <c r="N20" s="5"/>
      <c r="O20" s="488"/>
      <c r="P20" s="488"/>
      <c r="Q20" s="488"/>
      <c r="R20" s="488"/>
      <c r="S20" s="488"/>
      <c r="T20" s="488"/>
      <c r="U20" s="488"/>
      <c r="V20" s="488">
        <v>10</v>
      </c>
      <c r="W20" s="488"/>
      <c r="X20" s="488"/>
      <c r="Y20" s="488"/>
      <c r="Z20" s="488"/>
      <c r="AA20" s="488"/>
    </row>
    <row r="21" spans="1:27" x14ac:dyDescent="0.45">
      <c r="A21" s="1">
        <f t="shared" si="0"/>
        <v>18</v>
      </c>
      <c r="B21" s="489" t="s">
        <v>35</v>
      </c>
      <c r="C21" s="489"/>
      <c r="D21" s="489"/>
      <c r="E21" s="488">
        <v>20</v>
      </c>
      <c r="F21" s="488"/>
      <c r="G21" s="488"/>
      <c r="H21" s="488"/>
      <c r="I21" s="488"/>
      <c r="J21" s="488"/>
      <c r="K21" s="488"/>
      <c r="L21" s="488"/>
      <c r="M21" s="5"/>
      <c r="N21" s="5"/>
      <c r="O21" s="488"/>
      <c r="P21" s="488"/>
      <c r="Q21" s="488"/>
      <c r="R21" s="488"/>
      <c r="S21" s="488"/>
      <c r="T21" s="488"/>
      <c r="U21" s="488"/>
      <c r="V21" s="488"/>
      <c r="W21" s="488"/>
      <c r="X21" s="488"/>
      <c r="Y21" s="488"/>
      <c r="Z21" s="488"/>
      <c r="AA21" s="488"/>
    </row>
    <row r="22" spans="1:27" x14ac:dyDescent="0.45">
      <c r="A22" s="1">
        <f t="shared" si="0"/>
        <v>19</v>
      </c>
      <c r="B22" s="489" t="s">
        <v>21</v>
      </c>
      <c r="C22" s="489"/>
      <c r="D22" s="489"/>
      <c r="E22" s="488">
        <v>20</v>
      </c>
      <c r="F22" s="488"/>
      <c r="G22" s="488"/>
      <c r="H22" s="488"/>
      <c r="I22" s="488"/>
      <c r="J22" s="488"/>
      <c r="K22" s="488"/>
      <c r="L22" s="488"/>
      <c r="M22" s="5"/>
      <c r="N22" s="5"/>
      <c r="O22" s="488"/>
      <c r="P22" s="488"/>
      <c r="Q22" s="488"/>
      <c r="R22" s="488"/>
      <c r="S22" s="488"/>
      <c r="T22" s="488"/>
      <c r="U22" s="488"/>
      <c r="V22" s="488"/>
      <c r="W22" s="488"/>
      <c r="X22" s="488"/>
      <c r="Y22" s="488"/>
      <c r="Z22" s="488"/>
      <c r="AA22" s="488"/>
    </row>
    <row r="23" spans="1:27" x14ac:dyDescent="0.45">
      <c r="A23" s="1">
        <f t="shared" si="0"/>
        <v>20</v>
      </c>
      <c r="B23" s="500" t="s">
        <v>36</v>
      </c>
      <c r="C23" s="500"/>
      <c r="D23" s="500"/>
      <c r="E23" s="488">
        <v>10</v>
      </c>
      <c r="F23" s="488"/>
      <c r="G23" s="488"/>
      <c r="H23" s="488"/>
      <c r="I23" s="488"/>
      <c r="J23" s="488"/>
      <c r="K23" s="488"/>
      <c r="L23" s="488"/>
      <c r="M23" s="5"/>
      <c r="N23" s="5"/>
      <c r="O23" s="488"/>
      <c r="P23" s="488"/>
      <c r="Q23" s="488"/>
      <c r="R23" s="488"/>
      <c r="S23" s="488"/>
      <c r="T23" s="488"/>
      <c r="U23" s="488"/>
      <c r="V23" s="488"/>
      <c r="W23" s="488"/>
      <c r="X23" s="488"/>
      <c r="Y23" s="488"/>
      <c r="Z23" s="488"/>
      <c r="AA23" s="488"/>
    </row>
    <row r="24" spans="1:27" x14ac:dyDescent="0.45">
      <c r="A24" s="1">
        <f t="shared" si="0"/>
        <v>21</v>
      </c>
      <c r="B24" s="489" t="s">
        <v>22</v>
      </c>
      <c r="C24" s="489"/>
      <c r="D24" s="489"/>
      <c r="E24" s="488">
        <v>10</v>
      </c>
      <c r="F24" s="488"/>
      <c r="G24" s="488"/>
      <c r="H24" s="488"/>
      <c r="I24" s="488"/>
      <c r="J24" s="488"/>
      <c r="K24" s="488"/>
      <c r="L24" s="488"/>
      <c r="M24" s="5"/>
      <c r="N24" s="5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Y24" s="488"/>
      <c r="Z24" s="488"/>
      <c r="AA24" s="488"/>
    </row>
    <row r="25" spans="1:27" x14ac:dyDescent="0.45">
      <c r="A25" s="1">
        <f t="shared" si="0"/>
        <v>22</v>
      </c>
      <c r="B25" s="489" t="s">
        <v>23</v>
      </c>
      <c r="C25" s="489"/>
      <c r="D25" s="489"/>
      <c r="E25" s="488">
        <v>10</v>
      </c>
      <c r="F25" s="488"/>
      <c r="G25" s="488"/>
      <c r="H25" s="488"/>
      <c r="I25" s="488"/>
      <c r="J25" s="488"/>
      <c r="K25" s="488"/>
      <c r="L25" s="488"/>
      <c r="M25" s="5"/>
      <c r="N25" s="5"/>
      <c r="O25" s="488">
        <v>10</v>
      </c>
      <c r="P25" s="488"/>
      <c r="Q25" s="488"/>
      <c r="R25" s="488"/>
      <c r="S25" s="488"/>
      <c r="T25" s="488"/>
      <c r="U25" s="488"/>
      <c r="V25" s="488">
        <v>10</v>
      </c>
      <c r="W25" s="488"/>
      <c r="X25" s="488"/>
      <c r="Y25" s="488">
        <v>10</v>
      </c>
      <c r="Z25" s="488"/>
      <c r="AA25" s="488"/>
    </row>
    <row r="26" spans="1:27" x14ac:dyDescent="0.45">
      <c r="A26" s="1">
        <f t="shared" si="0"/>
        <v>23</v>
      </c>
      <c r="B26" s="489" t="s">
        <v>37</v>
      </c>
      <c r="C26" s="489"/>
      <c r="D26" s="489"/>
      <c r="E26" s="488">
        <v>10</v>
      </c>
      <c r="F26" s="488"/>
      <c r="G26" s="488"/>
      <c r="H26" s="488"/>
      <c r="I26" s="488"/>
      <c r="J26" s="488"/>
      <c r="K26" s="488"/>
      <c r="L26" s="488"/>
      <c r="M26" s="5"/>
      <c r="N26" s="5"/>
      <c r="O26" s="488"/>
      <c r="P26" s="488"/>
      <c r="Q26" s="488"/>
      <c r="R26" s="488"/>
      <c r="S26" s="488"/>
      <c r="T26" s="488"/>
      <c r="U26" s="488"/>
      <c r="V26" s="488"/>
      <c r="W26" s="488"/>
      <c r="X26" s="488"/>
      <c r="Y26" s="488"/>
      <c r="Z26" s="488"/>
      <c r="AA26" s="488"/>
    </row>
    <row r="27" spans="1:27" x14ac:dyDescent="0.45">
      <c r="A27" s="1">
        <f t="shared" si="0"/>
        <v>24</v>
      </c>
      <c r="B27" s="489" t="s">
        <v>38</v>
      </c>
      <c r="C27" s="489"/>
      <c r="D27" s="489"/>
      <c r="E27" s="488">
        <v>10</v>
      </c>
      <c r="F27" s="488"/>
      <c r="G27" s="488"/>
      <c r="H27" s="488"/>
      <c r="I27" s="488"/>
      <c r="J27" s="488"/>
      <c r="K27" s="488"/>
      <c r="L27" s="488"/>
      <c r="M27" s="5"/>
      <c r="N27" s="5"/>
      <c r="O27" s="488"/>
      <c r="P27" s="488"/>
      <c r="Q27" s="488"/>
      <c r="R27" s="488"/>
      <c r="S27" s="488"/>
      <c r="T27" s="488"/>
      <c r="U27" s="488"/>
      <c r="V27" s="488"/>
      <c r="W27" s="488"/>
      <c r="X27" s="488"/>
      <c r="Y27" s="488"/>
      <c r="Z27" s="488"/>
      <c r="AA27" s="488"/>
    </row>
    <row r="28" spans="1:27" x14ac:dyDescent="0.45">
      <c r="A28" s="1">
        <f t="shared" si="0"/>
        <v>25</v>
      </c>
      <c r="B28" s="489" t="s">
        <v>24</v>
      </c>
      <c r="C28" s="489"/>
      <c r="D28" s="489"/>
      <c r="E28" s="488">
        <v>10</v>
      </c>
      <c r="F28" s="488"/>
      <c r="G28" s="488"/>
      <c r="H28" s="488"/>
      <c r="I28" s="488"/>
      <c r="J28" s="488"/>
      <c r="K28" s="488"/>
      <c r="L28" s="488"/>
      <c r="M28" s="5"/>
      <c r="N28" s="5"/>
      <c r="O28" s="488"/>
      <c r="P28" s="488"/>
      <c r="Q28" s="488"/>
      <c r="R28" s="488"/>
      <c r="S28" s="488"/>
      <c r="T28" s="488"/>
      <c r="U28" s="488"/>
      <c r="V28" s="488"/>
      <c r="W28" s="488"/>
      <c r="X28" s="488"/>
      <c r="Y28" s="488"/>
      <c r="Z28" s="488"/>
      <c r="AA28" s="488"/>
    </row>
    <row r="29" spans="1:27" x14ac:dyDescent="0.45">
      <c r="A29" s="1">
        <f t="shared" si="0"/>
        <v>26</v>
      </c>
      <c r="B29" s="489" t="s">
        <v>25</v>
      </c>
      <c r="C29" s="489"/>
      <c r="D29" s="489"/>
      <c r="E29" s="488">
        <v>10</v>
      </c>
      <c r="F29" s="488"/>
      <c r="G29" s="488"/>
      <c r="H29" s="488"/>
      <c r="I29" s="488"/>
      <c r="J29" s="488"/>
      <c r="K29" s="488"/>
      <c r="L29" s="488"/>
      <c r="M29" s="5"/>
      <c r="N29" s="5"/>
      <c r="O29" s="488"/>
      <c r="P29" s="488"/>
      <c r="Q29" s="488"/>
      <c r="R29" s="488"/>
      <c r="S29" s="488"/>
      <c r="T29" s="488"/>
      <c r="U29" s="488"/>
      <c r="V29" s="488"/>
      <c r="W29" s="488"/>
      <c r="X29" s="488"/>
      <c r="Y29" s="488"/>
      <c r="Z29" s="488"/>
      <c r="AA29" s="488"/>
    </row>
    <row r="30" spans="1:27" x14ac:dyDescent="0.45">
      <c r="A30" s="1">
        <f t="shared" si="0"/>
        <v>27</v>
      </c>
      <c r="B30" s="489" t="s">
        <v>39</v>
      </c>
      <c r="C30" s="489"/>
      <c r="D30" s="489"/>
      <c r="E30" s="488">
        <v>10</v>
      </c>
      <c r="F30" s="488"/>
      <c r="G30" s="488"/>
      <c r="H30" s="488"/>
      <c r="I30" s="488"/>
      <c r="J30" s="488">
        <v>10</v>
      </c>
      <c r="K30" s="488"/>
      <c r="L30" s="488"/>
      <c r="M30" s="5"/>
      <c r="N30" s="5"/>
      <c r="O30" s="488"/>
      <c r="P30" s="488"/>
      <c r="Q30" s="488"/>
      <c r="R30" s="488"/>
      <c r="S30" s="488"/>
      <c r="T30" s="488"/>
      <c r="U30" s="488"/>
      <c r="V30" s="488"/>
      <c r="W30" s="488"/>
      <c r="X30" s="488"/>
      <c r="Y30" s="488"/>
      <c r="Z30" s="488"/>
      <c r="AA30" s="488"/>
    </row>
    <row r="31" spans="1:27" x14ac:dyDescent="0.45">
      <c r="A31" s="1">
        <f t="shared" si="0"/>
        <v>28</v>
      </c>
      <c r="B31" s="489" t="s">
        <v>40</v>
      </c>
      <c r="C31" s="489"/>
      <c r="D31" s="489"/>
      <c r="E31" s="488">
        <v>300</v>
      </c>
      <c r="F31" s="488"/>
      <c r="G31" s="488"/>
      <c r="H31" s="488"/>
      <c r="I31" s="488"/>
      <c r="J31" s="488">
        <v>20</v>
      </c>
      <c r="K31" s="488"/>
      <c r="L31" s="488"/>
      <c r="M31" s="5"/>
      <c r="N31" s="5"/>
      <c r="O31" s="488"/>
      <c r="P31" s="488"/>
      <c r="Q31" s="488"/>
      <c r="R31" s="488"/>
      <c r="S31" s="488"/>
      <c r="T31" s="488"/>
      <c r="U31" s="488"/>
      <c r="V31" s="488">
        <v>200</v>
      </c>
      <c r="W31" s="488"/>
      <c r="X31" s="488"/>
      <c r="Y31" s="488"/>
      <c r="Z31" s="488"/>
      <c r="AA31" s="488"/>
    </row>
    <row r="32" spans="1:27" x14ac:dyDescent="0.45">
      <c r="A32" s="501" t="s">
        <v>26</v>
      </c>
      <c r="B32" s="501"/>
      <c r="C32" s="501"/>
      <c r="D32" s="501"/>
      <c r="E32" s="488">
        <f>SUM(E4:E31)</f>
        <v>1900</v>
      </c>
      <c r="F32" s="488"/>
      <c r="G32" s="488"/>
      <c r="H32" s="488"/>
      <c r="I32" s="488"/>
      <c r="J32" s="488">
        <f>SUM(J4:J31)</f>
        <v>190</v>
      </c>
      <c r="K32" s="488"/>
      <c r="L32" s="488"/>
      <c r="M32" s="5"/>
      <c r="N32" s="5"/>
      <c r="O32" s="488">
        <f>SUM(O4:O31)</f>
        <v>50</v>
      </c>
      <c r="P32" s="488"/>
      <c r="Q32" s="488"/>
      <c r="R32" s="488"/>
      <c r="S32" s="488">
        <f>SUM(S4:S31)</f>
        <v>70</v>
      </c>
      <c r="T32" s="488"/>
      <c r="U32" s="488"/>
      <c r="V32" s="488">
        <f>SUM(V4:V31)</f>
        <v>900</v>
      </c>
      <c r="W32" s="488"/>
      <c r="X32" s="488"/>
      <c r="Y32" s="488">
        <f>SUM(Y4:Y31)</f>
        <v>10</v>
      </c>
      <c r="Z32" s="488"/>
      <c r="AA32" s="488"/>
    </row>
    <row r="33" spans="1:27" s="23" customFormat="1" x14ac:dyDescent="0.45">
      <c r="A33" s="21"/>
      <c r="B33" s="21"/>
      <c r="C33" s="21"/>
      <c r="D33" s="21"/>
      <c r="E33" s="22"/>
      <c r="F33" s="22"/>
      <c r="G33" s="22"/>
      <c r="H33" s="22"/>
      <c r="I33" s="22"/>
      <c r="J33" s="22"/>
      <c r="K33" s="22"/>
      <c r="L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s="23" customFormat="1" x14ac:dyDescent="0.45">
      <c r="A34" s="21"/>
      <c r="B34" s="21"/>
      <c r="C34" s="21"/>
      <c r="D34" s="21"/>
      <c r="E34" s="22"/>
      <c r="F34" s="22"/>
      <c r="G34" s="22"/>
      <c r="H34" s="22"/>
      <c r="I34" s="22"/>
      <c r="J34" s="22"/>
      <c r="K34" s="22"/>
      <c r="L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</sheetData>
  <mergeCells count="209">
    <mergeCell ref="Y31:AA31"/>
    <mergeCell ref="A32:D32"/>
    <mergeCell ref="E32:I32"/>
    <mergeCell ref="J32:L32"/>
    <mergeCell ref="O32:R32"/>
    <mergeCell ref="S32:U32"/>
    <mergeCell ref="V32:X32"/>
    <mergeCell ref="Y32:AA32"/>
    <mergeCell ref="B31:D31"/>
    <mergeCell ref="E31:I31"/>
    <mergeCell ref="J31:L31"/>
    <mergeCell ref="O31:R31"/>
    <mergeCell ref="S31:U31"/>
    <mergeCell ref="V31:X31"/>
    <mergeCell ref="Y29:AA29"/>
    <mergeCell ref="B30:D30"/>
    <mergeCell ref="E30:I30"/>
    <mergeCell ref="J30:L30"/>
    <mergeCell ref="O30:R30"/>
    <mergeCell ref="S30:U30"/>
    <mergeCell ref="V30:X30"/>
    <mergeCell ref="Y30:AA30"/>
    <mergeCell ref="B29:D29"/>
    <mergeCell ref="E29:I29"/>
    <mergeCell ref="J29:L29"/>
    <mergeCell ref="O29:R29"/>
    <mergeCell ref="S29:U29"/>
    <mergeCell ref="V29:X29"/>
    <mergeCell ref="Y27:AA27"/>
    <mergeCell ref="B28:D28"/>
    <mergeCell ref="E28:I28"/>
    <mergeCell ref="J28:L28"/>
    <mergeCell ref="O28:R28"/>
    <mergeCell ref="S28:U28"/>
    <mergeCell ref="V28:X28"/>
    <mergeCell ref="Y28:AA28"/>
    <mergeCell ref="B27:D27"/>
    <mergeCell ref="E27:I27"/>
    <mergeCell ref="J27:L27"/>
    <mergeCell ref="O27:R27"/>
    <mergeCell ref="S27:U27"/>
    <mergeCell ref="V27:X27"/>
    <mergeCell ref="Y25:AA25"/>
    <mergeCell ref="B26:D26"/>
    <mergeCell ref="E26:I26"/>
    <mergeCell ref="J26:L26"/>
    <mergeCell ref="O26:R26"/>
    <mergeCell ref="S26:U26"/>
    <mergeCell ref="V26:X26"/>
    <mergeCell ref="Y26:AA26"/>
    <mergeCell ref="B25:D25"/>
    <mergeCell ref="E25:I25"/>
    <mergeCell ref="J25:L25"/>
    <mergeCell ref="O25:R25"/>
    <mergeCell ref="S25:U25"/>
    <mergeCell ref="V25:X25"/>
    <mergeCell ref="Y23:AA23"/>
    <mergeCell ref="B24:D24"/>
    <mergeCell ref="E24:I24"/>
    <mergeCell ref="J24:L24"/>
    <mergeCell ref="O24:R24"/>
    <mergeCell ref="S24:U24"/>
    <mergeCell ref="V24:X24"/>
    <mergeCell ref="Y24:AA24"/>
    <mergeCell ref="B23:D23"/>
    <mergeCell ref="E23:I23"/>
    <mergeCell ref="J23:L23"/>
    <mergeCell ref="O23:R23"/>
    <mergeCell ref="S23:U23"/>
    <mergeCell ref="V23:X23"/>
    <mergeCell ref="Y21:AA21"/>
    <mergeCell ref="B22:D22"/>
    <mergeCell ref="E22:I22"/>
    <mergeCell ref="J22:L22"/>
    <mergeCell ref="O22:R22"/>
    <mergeCell ref="S22:U22"/>
    <mergeCell ref="V22:X22"/>
    <mergeCell ref="Y22:AA22"/>
    <mergeCell ref="B21:D21"/>
    <mergeCell ref="E21:I21"/>
    <mergeCell ref="J21:L21"/>
    <mergeCell ref="O21:R21"/>
    <mergeCell ref="S21:U21"/>
    <mergeCell ref="V21:X21"/>
    <mergeCell ref="Y19:AA19"/>
    <mergeCell ref="B20:D20"/>
    <mergeCell ref="E20:I20"/>
    <mergeCell ref="J20:L20"/>
    <mergeCell ref="O20:R20"/>
    <mergeCell ref="S20:U20"/>
    <mergeCell ref="V20:X20"/>
    <mergeCell ref="Y20:AA20"/>
    <mergeCell ref="B19:D19"/>
    <mergeCell ref="E19:I19"/>
    <mergeCell ref="J19:L19"/>
    <mergeCell ref="O19:R19"/>
    <mergeCell ref="S19:U19"/>
    <mergeCell ref="V19:X19"/>
    <mergeCell ref="Y17:AA17"/>
    <mergeCell ref="B18:D18"/>
    <mergeCell ref="E18:I18"/>
    <mergeCell ref="J18:L18"/>
    <mergeCell ref="O18:R18"/>
    <mergeCell ref="S18:U18"/>
    <mergeCell ref="V18:X18"/>
    <mergeCell ref="Y18:AA18"/>
    <mergeCell ref="B17:D17"/>
    <mergeCell ref="E17:I17"/>
    <mergeCell ref="J17:L17"/>
    <mergeCell ref="O17:R17"/>
    <mergeCell ref="S17:U17"/>
    <mergeCell ref="V17:X17"/>
    <mergeCell ref="Y15:AA15"/>
    <mergeCell ref="B16:D16"/>
    <mergeCell ref="E16:I16"/>
    <mergeCell ref="J16:L16"/>
    <mergeCell ref="O16:R16"/>
    <mergeCell ref="S16:U16"/>
    <mergeCell ref="V16:X16"/>
    <mergeCell ref="Y16:AA16"/>
    <mergeCell ref="B15:D15"/>
    <mergeCell ref="E15:I15"/>
    <mergeCell ref="J15:L15"/>
    <mergeCell ref="O15:R15"/>
    <mergeCell ref="S15:U15"/>
    <mergeCell ref="V15:X15"/>
    <mergeCell ref="Y13:AA13"/>
    <mergeCell ref="B14:D14"/>
    <mergeCell ref="E14:I14"/>
    <mergeCell ref="J14:L14"/>
    <mergeCell ref="O14:R14"/>
    <mergeCell ref="S14:U14"/>
    <mergeCell ref="V14:X14"/>
    <mergeCell ref="Y14:AA14"/>
    <mergeCell ref="B13:D13"/>
    <mergeCell ref="E13:I13"/>
    <mergeCell ref="J13:L13"/>
    <mergeCell ref="O13:R13"/>
    <mergeCell ref="S13:U13"/>
    <mergeCell ref="V13:X13"/>
    <mergeCell ref="Y11:AA11"/>
    <mergeCell ref="B12:D12"/>
    <mergeCell ref="E12:I12"/>
    <mergeCell ref="J12:L12"/>
    <mergeCell ref="O12:R12"/>
    <mergeCell ref="S12:U12"/>
    <mergeCell ref="V12:X12"/>
    <mergeCell ref="Y12:AA12"/>
    <mergeCell ref="B11:D11"/>
    <mergeCell ref="E11:I11"/>
    <mergeCell ref="J11:L11"/>
    <mergeCell ref="O11:R11"/>
    <mergeCell ref="S11:U11"/>
    <mergeCell ref="V11:X11"/>
    <mergeCell ref="Y9:AA9"/>
    <mergeCell ref="B10:D10"/>
    <mergeCell ref="E10:I10"/>
    <mergeCell ref="J10:L10"/>
    <mergeCell ref="O10:R10"/>
    <mergeCell ref="S10:U10"/>
    <mergeCell ref="V10:X10"/>
    <mergeCell ref="Y10:AA10"/>
    <mergeCell ref="B9:D9"/>
    <mergeCell ref="E9:I9"/>
    <mergeCell ref="J9:L9"/>
    <mergeCell ref="O9:R9"/>
    <mergeCell ref="S9:U9"/>
    <mergeCell ref="V9:X9"/>
    <mergeCell ref="Y7:AA7"/>
    <mergeCell ref="B8:D8"/>
    <mergeCell ref="E8:I8"/>
    <mergeCell ref="J8:L8"/>
    <mergeCell ref="O8:R8"/>
    <mergeCell ref="S8:U8"/>
    <mergeCell ref="V8:X8"/>
    <mergeCell ref="Y8:AA8"/>
    <mergeCell ref="B7:D7"/>
    <mergeCell ref="E7:I7"/>
    <mergeCell ref="J7:L7"/>
    <mergeCell ref="O7:R7"/>
    <mergeCell ref="S7:U7"/>
    <mergeCell ref="V7:X7"/>
    <mergeCell ref="Y5:AA5"/>
    <mergeCell ref="E6:I6"/>
    <mergeCell ref="J6:L6"/>
    <mergeCell ref="O6:R6"/>
    <mergeCell ref="S6:U6"/>
    <mergeCell ref="V6:X6"/>
    <mergeCell ref="Y6:AA6"/>
    <mergeCell ref="B5:D5"/>
    <mergeCell ref="E5:I5"/>
    <mergeCell ref="J5:L5"/>
    <mergeCell ref="O5:R5"/>
    <mergeCell ref="S5:U5"/>
    <mergeCell ref="V5:X5"/>
    <mergeCell ref="Y3:AA3"/>
    <mergeCell ref="B4:D4"/>
    <mergeCell ref="E4:I4"/>
    <mergeCell ref="J4:L4"/>
    <mergeCell ref="O4:R4"/>
    <mergeCell ref="S4:U4"/>
    <mergeCell ref="V4:X4"/>
    <mergeCell ref="Y4:AA4"/>
    <mergeCell ref="B3:D3"/>
    <mergeCell ref="E3:I3"/>
    <mergeCell ref="J3:N3"/>
    <mergeCell ref="O3:R3"/>
    <mergeCell ref="S3:U3"/>
    <mergeCell ref="V3:X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6"/>
  <sheetViews>
    <sheetView workbookViewId="0">
      <selection activeCell="A2" sqref="A2:D6"/>
    </sheetView>
  </sheetViews>
  <sheetFormatPr baseColWidth="10" defaultColWidth="11.3984375" defaultRowHeight="14.25" x14ac:dyDescent="0.45"/>
  <cols>
    <col min="1" max="1" width="21.265625" customWidth="1"/>
    <col min="2" max="2" width="13.73046875" customWidth="1"/>
    <col min="3" max="3" width="22" customWidth="1"/>
    <col min="4" max="4" width="17.59765625" customWidth="1"/>
  </cols>
  <sheetData>
    <row r="1" spans="1:4" ht="14.65" thickBot="1" x14ac:dyDescent="0.5">
      <c r="A1" s="536" t="s">
        <v>315</v>
      </c>
      <c r="B1" s="538"/>
      <c r="C1" s="538"/>
      <c r="D1" s="537"/>
    </row>
    <row r="2" spans="1:4" x14ac:dyDescent="0.45">
      <c r="A2" s="51" t="s">
        <v>202</v>
      </c>
      <c r="B2" s="26" t="s">
        <v>203</v>
      </c>
      <c r="C2" s="26" t="s">
        <v>250</v>
      </c>
      <c r="D2" s="26" t="s">
        <v>251</v>
      </c>
    </row>
    <row r="3" spans="1:4" ht="14.65" thickBot="1" x14ac:dyDescent="0.5">
      <c r="A3" s="35" t="s">
        <v>287</v>
      </c>
      <c r="B3" s="34">
        <v>2</v>
      </c>
      <c r="C3" s="60">
        <v>5</v>
      </c>
      <c r="D3" s="60">
        <f t="shared" ref="D3:D5" si="0">B3*C3</f>
        <v>10</v>
      </c>
    </row>
    <row r="4" spans="1:4" ht="14.65" thickBot="1" x14ac:dyDescent="0.5">
      <c r="A4" s="33" t="s">
        <v>284</v>
      </c>
      <c r="B4" s="34">
        <v>2</v>
      </c>
      <c r="C4" s="60">
        <v>20</v>
      </c>
      <c r="D4" s="60">
        <f t="shared" si="0"/>
        <v>40</v>
      </c>
    </row>
    <row r="5" spans="1:4" ht="28.15" thickBot="1" x14ac:dyDescent="0.5">
      <c r="A5" s="35" t="s">
        <v>316</v>
      </c>
      <c r="B5" s="34">
        <v>1</v>
      </c>
      <c r="C5" s="60">
        <v>80</v>
      </c>
      <c r="D5" s="60">
        <f t="shared" si="0"/>
        <v>80</v>
      </c>
    </row>
    <row r="6" spans="1:4" ht="14.65" thickBot="1" x14ac:dyDescent="0.5">
      <c r="A6" s="36" t="s">
        <v>26</v>
      </c>
      <c r="B6" s="32">
        <f>SUM(B3:B5)</f>
        <v>5</v>
      </c>
      <c r="C6" s="50">
        <f>SUM(C3:C5)</f>
        <v>105</v>
      </c>
      <c r="D6" s="50">
        <f>SUM(D3:D5)</f>
        <v>130</v>
      </c>
    </row>
  </sheetData>
  <mergeCells count="1">
    <mergeCell ref="A1:D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8"/>
  <sheetViews>
    <sheetView workbookViewId="0">
      <selection activeCell="A2" sqref="A2:D8"/>
    </sheetView>
  </sheetViews>
  <sheetFormatPr baseColWidth="10" defaultColWidth="11.3984375" defaultRowHeight="14.25" x14ac:dyDescent="0.45"/>
  <cols>
    <col min="1" max="1" width="21.86328125" customWidth="1"/>
    <col min="2" max="2" width="16.3984375" customWidth="1"/>
    <col min="3" max="3" width="20.73046875" customWidth="1"/>
    <col min="4" max="4" width="16.73046875" customWidth="1"/>
  </cols>
  <sheetData>
    <row r="1" spans="1:4" ht="28.5" customHeight="1" thickBot="1" x14ac:dyDescent="0.5">
      <c r="A1" s="536" t="s">
        <v>317</v>
      </c>
      <c r="B1" s="538"/>
      <c r="C1" s="538"/>
      <c r="D1" s="537"/>
    </row>
    <row r="2" spans="1:4" x14ac:dyDescent="0.45">
      <c r="A2" s="51" t="s">
        <v>202</v>
      </c>
      <c r="B2" s="26" t="s">
        <v>203</v>
      </c>
      <c r="C2" s="26" t="s">
        <v>250</v>
      </c>
      <c r="D2" s="26" t="s">
        <v>251</v>
      </c>
    </row>
    <row r="3" spans="1:4" ht="34.9" x14ac:dyDescent="0.45">
      <c r="A3" s="44" t="s">
        <v>277</v>
      </c>
      <c r="B3" s="61">
        <v>1</v>
      </c>
      <c r="C3" s="49">
        <v>149.9</v>
      </c>
      <c r="D3" s="49">
        <f t="shared" ref="D3" si="0">B3*C3</f>
        <v>149.9</v>
      </c>
    </row>
    <row r="4" spans="1:4" x14ac:dyDescent="0.45">
      <c r="A4" s="45" t="s">
        <v>286</v>
      </c>
      <c r="B4" s="61">
        <v>2</v>
      </c>
      <c r="C4" s="49">
        <v>125</v>
      </c>
      <c r="D4" s="49">
        <v>250</v>
      </c>
    </row>
    <row r="5" spans="1:4" x14ac:dyDescent="0.45">
      <c r="A5" s="46" t="s">
        <v>273</v>
      </c>
      <c r="B5" s="61">
        <v>2</v>
      </c>
      <c r="C5" s="49">
        <v>19.989999999999998</v>
      </c>
      <c r="D5" s="49">
        <f>B5*C5</f>
        <v>39.979999999999997</v>
      </c>
    </row>
    <row r="6" spans="1:4" x14ac:dyDescent="0.45">
      <c r="A6" s="27" t="s">
        <v>278</v>
      </c>
      <c r="B6" s="61">
        <v>1</v>
      </c>
      <c r="C6" s="49">
        <v>1100</v>
      </c>
      <c r="D6" s="49">
        <f t="shared" ref="D6:D7" si="1">B6*C6</f>
        <v>1100</v>
      </c>
    </row>
    <row r="7" spans="1:4" ht="14.65" thickBot="1" x14ac:dyDescent="0.5">
      <c r="A7" s="47" t="s">
        <v>287</v>
      </c>
      <c r="B7" s="61">
        <v>1</v>
      </c>
      <c r="C7" s="49">
        <v>9.99</v>
      </c>
      <c r="D7" s="49">
        <f t="shared" si="1"/>
        <v>9.99</v>
      </c>
    </row>
    <row r="8" spans="1:4" ht="14.65" thickBot="1" x14ac:dyDescent="0.5">
      <c r="A8" s="36" t="s">
        <v>26</v>
      </c>
      <c r="B8" s="62">
        <f>SUM(B3:B7)</f>
        <v>7</v>
      </c>
      <c r="C8" s="50">
        <f>SUM(C3:C7)</f>
        <v>1404.8799999999999</v>
      </c>
      <c r="D8" s="50">
        <f>SUM(D3:D7)</f>
        <v>1549.8700000000001</v>
      </c>
    </row>
  </sheetData>
  <mergeCells count="1">
    <mergeCell ref="A1:D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C1:K16"/>
  <sheetViews>
    <sheetView workbookViewId="0">
      <selection activeCell="E19" sqref="E19"/>
    </sheetView>
  </sheetViews>
  <sheetFormatPr baseColWidth="10" defaultColWidth="11.3984375" defaultRowHeight="14.25" x14ac:dyDescent="0.45"/>
  <cols>
    <col min="3" max="3" width="32.86328125" customWidth="1"/>
    <col min="4" max="4" width="16.86328125" customWidth="1"/>
    <col min="6" max="6" width="12.59765625" bestFit="1" customWidth="1"/>
    <col min="7" max="7" width="12.59765625" customWidth="1"/>
    <col min="8" max="8" width="12.86328125" customWidth="1"/>
    <col min="9" max="9" width="13.1328125" customWidth="1"/>
    <col min="11" max="11" width="15.265625" customWidth="1"/>
  </cols>
  <sheetData>
    <row r="1" spans="3:11" ht="14.65" thickBot="1" x14ac:dyDescent="0.5"/>
    <row r="2" spans="3:11" ht="15.4" thickBot="1" x14ac:dyDescent="0.5">
      <c r="C2" s="539" t="s">
        <v>318</v>
      </c>
      <c r="D2" s="540"/>
      <c r="E2" s="540"/>
      <c r="F2" s="540"/>
      <c r="G2" s="540"/>
      <c r="H2" s="540"/>
      <c r="I2" s="540"/>
      <c r="J2" s="540"/>
      <c r="K2" s="541"/>
    </row>
    <row r="3" spans="3:11" ht="15.4" thickBot="1" x14ac:dyDescent="0.5">
      <c r="C3" s="539" t="s">
        <v>319</v>
      </c>
      <c r="D3" s="540"/>
      <c r="E3" s="540"/>
      <c r="F3" s="540"/>
      <c r="G3" s="540"/>
      <c r="H3" s="540"/>
      <c r="I3" s="540"/>
      <c r="J3" s="540"/>
      <c r="K3" s="541"/>
    </row>
    <row r="4" spans="3:11" ht="15.4" thickBot="1" x14ac:dyDescent="0.5">
      <c r="C4" s="221" t="s">
        <v>320</v>
      </c>
      <c r="D4" s="222" t="s">
        <v>321</v>
      </c>
      <c r="E4" s="223" t="s">
        <v>322</v>
      </c>
      <c r="F4" s="223">
        <v>1</v>
      </c>
      <c r="G4" s="223">
        <v>2</v>
      </c>
      <c r="H4" s="223">
        <v>3</v>
      </c>
      <c r="I4" s="223">
        <v>4</v>
      </c>
      <c r="J4" s="223">
        <v>5</v>
      </c>
      <c r="K4" s="223" t="s">
        <v>323</v>
      </c>
    </row>
    <row r="5" spans="3:11" ht="15.75" thickBot="1" x14ac:dyDescent="0.5">
      <c r="C5" s="218" t="s">
        <v>324</v>
      </c>
      <c r="D5" s="224"/>
      <c r="E5" s="31"/>
      <c r="F5" s="31"/>
      <c r="G5" s="31"/>
      <c r="H5" s="31"/>
      <c r="I5" s="31"/>
      <c r="J5" s="31"/>
      <c r="K5" s="225"/>
    </row>
    <row r="6" spans="3:11" ht="15.75" thickBot="1" x14ac:dyDescent="0.5">
      <c r="C6" s="218" t="s">
        <v>264</v>
      </c>
      <c r="D6" s="226">
        <f>'Inv Cos'!F12</f>
        <v>21972</v>
      </c>
      <c r="E6" s="219">
        <v>0.05</v>
      </c>
      <c r="F6" s="220">
        <f>D6*E6</f>
        <v>1098.6000000000001</v>
      </c>
      <c r="G6" s="220">
        <f t="shared" ref="G6:J7" si="0">F6</f>
        <v>1098.6000000000001</v>
      </c>
      <c r="H6" s="220">
        <f t="shared" si="0"/>
        <v>1098.6000000000001</v>
      </c>
      <c r="I6" s="220">
        <f t="shared" si="0"/>
        <v>1098.6000000000001</v>
      </c>
      <c r="J6" s="220">
        <f t="shared" si="0"/>
        <v>1098.6000000000001</v>
      </c>
      <c r="K6" s="227">
        <f>D6-(F6+G6+H6+I6+J6)</f>
        <v>16479</v>
      </c>
    </row>
    <row r="7" spans="3:11" ht="15.75" thickBot="1" x14ac:dyDescent="0.5">
      <c r="C7" s="218" t="s">
        <v>325</v>
      </c>
      <c r="D7" s="226">
        <f>'A1.'!D3+'A1.'!D4+'A1.'!D7+'A3.'!D6+'A4.'!D4+'A4.'!D7+'A4.'!D8+'A4.'!D9+'A4.'!D10+'A4.'!D11+'A4.'!D13+'A5.'!D3+'A5.'!D4+'A5.'!D8+'A5.'!D9+'A5.'!D10+'A6.'!D3+'A6.'!D4+'A6.'!D5+'A6.'!D6+'A6.'!D9+'A6.'!D10+'A8'!D5</f>
        <v>2398.8799999999997</v>
      </c>
      <c r="E7" s="219">
        <v>0.1</v>
      </c>
      <c r="F7" s="220">
        <f>D7*E7</f>
        <v>239.88799999999998</v>
      </c>
      <c r="G7" s="220">
        <f t="shared" si="0"/>
        <v>239.88799999999998</v>
      </c>
      <c r="H7" s="220">
        <f t="shared" si="0"/>
        <v>239.88799999999998</v>
      </c>
      <c r="I7" s="220">
        <f t="shared" si="0"/>
        <v>239.88799999999998</v>
      </c>
      <c r="J7" s="220">
        <f t="shared" si="0"/>
        <v>239.88799999999998</v>
      </c>
      <c r="K7" s="227">
        <f>D7-(F7+G7+H7+I7+J7)</f>
        <v>1199.4399999999998</v>
      </c>
    </row>
    <row r="8" spans="3:11" ht="15.75" thickBot="1" x14ac:dyDescent="0.5">
      <c r="C8" s="218" t="s">
        <v>326</v>
      </c>
      <c r="D8" s="226">
        <f>'A1.'!D6+'A8'!D6+'A1.'!D13</f>
        <v>3554</v>
      </c>
      <c r="E8" s="219">
        <v>0.33</v>
      </c>
      <c r="F8" s="220">
        <f t="shared" ref="F8:F10" si="1">D8*E8</f>
        <v>1172.8200000000002</v>
      </c>
      <c r="G8" s="220">
        <f t="shared" ref="G8:H10" si="2">F8</f>
        <v>1172.8200000000002</v>
      </c>
      <c r="H8" s="220">
        <f t="shared" si="2"/>
        <v>1172.8200000000002</v>
      </c>
      <c r="I8" s="220"/>
      <c r="J8" s="220"/>
      <c r="K8" s="227">
        <v>0</v>
      </c>
    </row>
    <row r="9" spans="3:11" ht="15.75" thickBot="1" x14ac:dyDescent="0.5">
      <c r="C9" s="218" t="s">
        <v>327</v>
      </c>
      <c r="D9" s="226">
        <f>'A1.'!D5+'A1.'!D8+'A1.'!D9+'A1.'!D10+'A1.'!D11+'A1.'!D12+'A1.'!D14+'A1.'!D15+'A2.'!D3+'A2.'!D4+'A2.'!D5+'A2.'!D6+'A2.'!D7+'A3.'!D3+'A3.'!D4+'A3.'!D5+'A3.'!D7+'A3.'!D8+'A3.'!D9+'A4.'!D3+'A4.'!D5+'A4.'!D6+'A4.'!D12+'A5.'!D5+'A5.'!D6+'A5.'!D7+'A5.'!D11+'A6.'!D7+'A6.'!D8+'A6.'!D11+'A7.'!D3+'A7.'!D4+'A7.'!D5+'A8'!D3+'A8'!D4+'A8'!D7</f>
        <v>3817.91</v>
      </c>
      <c r="E9" s="219">
        <v>0.1</v>
      </c>
      <c r="F9" s="220">
        <f t="shared" si="1"/>
        <v>381.791</v>
      </c>
      <c r="G9" s="220">
        <f t="shared" si="2"/>
        <v>381.791</v>
      </c>
      <c r="H9" s="220">
        <f t="shared" si="2"/>
        <v>381.791</v>
      </c>
      <c r="I9" s="220">
        <f>H9</f>
        <v>381.791</v>
      </c>
      <c r="J9" s="220">
        <f>I9</f>
        <v>381.791</v>
      </c>
      <c r="K9" s="227">
        <f t="shared" ref="K9:K10" si="3">D9-(F9+G9+H9+I9+J9)</f>
        <v>1908.9549999999999</v>
      </c>
    </row>
    <row r="10" spans="3:11" ht="15.75" thickBot="1" x14ac:dyDescent="0.5">
      <c r="C10" s="218" t="s">
        <v>328</v>
      </c>
      <c r="D10" s="229">
        <f>INV!D13</f>
        <v>12000</v>
      </c>
      <c r="E10" s="230">
        <v>0.2</v>
      </c>
      <c r="F10" s="220">
        <f t="shared" si="1"/>
        <v>2400</v>
      </c>
      <c r="G10" s="231">
        <f t="shared" si="2"/>
        <v>2400</v>
      </c>
      <c r="H10" s="231">
        <f t="shared" si="2"/>
        <v>2400</v>
      </c>
      <c r="I10" s="231">
        <f>H10</f>
        <v>2400</v>
      </c>
      <c r="J10" s="231">
        <f>I10</f>
        <v>2400</v>
      </c>
      <c r="K10" s="227">
        <f t="shared" si="3"/>
        <v>0</v>
      </c>
    </row>
    <row r="11" spans="3:11" ht="15.75" thickBot="1" x14ac:dyDescent="0.5">
      <c r="C11" s="218" t="s">
        <v>180</v>
      </c>
      <c r="D11" s="236">
        <f>SUM(D6:D10)</f>
        <v>43742.79</v>
      </c>
      <c r="E11" s="237"/>
      <c r="F11" s="238">
        <f t="shared" ref="F11:K11" si="4">SUM(F6:F10)</f>
        <v>5293.0990000000002</v>
      </c>
      <c r="G11" s="238">
        <f t="shared" si="4"/>
        <v>5293.0990000000002</v>
      </c>
      <c r="H11" s="238">
        <f t="shared" si="4"/>
        <v>5293.0990000000002</v>
      </c>
      <c r="I11" s="238">
        <f t="shared" si="4"/>
        <v>4120.2790000000005</v>
      </c>
      <c r="J11" s="238">
        <f t="shared" si="4"/>
        <v>4120.2790000000005</v>
      </c>
      <c r="K11" s="239">
        <f t="shared" si="4"/>
        <v>19587.394999999997</v>
      </c>
    </row>
    <row r="12" spans="3:11" ht="15.75" thickBot="1" x14ac:dyDescent="0.5">
      <c r="C12" s="218" t="s">
        <v>329</v>
      </c>
      <c r="D12" s="233"/>
      <c r="E12" s="234"/>
      <c r="F12" s="234"/>
      <c r="G12" s="234"/>
      <c r="H12" s="234"/>
      <c r="I12" s="234"/>
      <c r="J12" s="234"/>
      <c r="K12" s="235"/>
    </row>
    <row r="13" spans="3:11" ht="15.75" thickBot="1" x14ac:dyDescent="0.5">
      <c r="C13" s="218" t="s">
        <v>330</v>
      </c>
      <c r="D13" s="228">
        <f>CNT!C3</f>
        <v>800</v>
      </c>
      <c r="E13" s="219">
        <v>0.2</v>
      </c>
      <c r="F13" s="220">
        <v>160</v>
      </c>
      <c r="G13" s="220">
        <v>160</v>
      </c>
      <c r="H13" s="220">
        <v>160</v>
      </c>
      <c r="I13" s="220">
        <v>160</v>
      </c>
      <c r="J13" s="220">
        <v>160</v>
      </c>
      <c r="K13" s="227">
        <v>0</v>
      </c>
    </row>
    <row r="14" spans="3:11" ht="15.75" thickBot="1" x14ac:dyDescent="0.5">
      <c r="C14" s="218" t="s">
        <v>331</v>
      </c>
      <c r="D14" s="228">
        <f>CNT!C4</f>
        <v>300</v>
      </c>
      <c r="E14" s="219">
        <v>0.2</v>
      </c>
      <c r="F14" s="220">
        <v>60</v>
      </c>
      <c r="G14" s="220">
        <v>60</v>
      </c>
      <c r="H14" s="220">
        <v>60</v>
      </c>
      <c r="I14" s="220">
        <v>60</v>
      </c>
      <c r="J14" s="220">
        <v>60</v>
      </c>
      <c r="K14" s="227">
        <v>0</v>
      </c>
    </row>
    <row r="15" spans="3:11" ht="15.75" thickBot="1" x14ac:dyDescent="0.5">
      <c r="C15" s="218" t="s">
        <v>332</v>
      </c>
      <c r="D15" s="229">
        <f>CNT!C5</f>
        <v>800</v>
      </c>
      <c r="E15" s="230">
        <v>0.2</v>
      </c>
      <c r="F15" s="231">
        <v>160</v>
      </c>
      <c r="G15" s="231">
        <v>160</v>
      </c>
      <c r="H15" s="231">
        <v>160</v>
      </c>
      <c r="I15" s="231">
        <v>160</v>
      </c>
      <c r="J15" s="231">
        <v>160</v>
      </c>
      <c r="K15" s="232">
        <v>0</v>
      </c>
    </row>
    <row r="16" spans="3:11" ht="15.75" thickBot="1" x14ac:dyDescent="0.5">
      <c r="C16" s="218" t="s">
        <v>180</v>
      </c>
      <c r="D16" s="240">
        <f>SUM(D13:D15)</f>
        <v>1900</v>
      </c>
      <c r="E16" s="241"/>
      <c r="F16" s="238">
        <f>SUM(F13:F15)</f>
        <v>380</v>
      </c>
      <c r="G16" s="238">
        <f t="shared" ref="G16:J16" si="5">SUM(G13:G15)</f>
        <v>380</v>
      </c>
      <c r="H16" s="238">
        <f t="shared" si="5"/>
        <v>380</v>
      </c>
      <c r="I16" s="238">
        <f t="shared" si="5"/>
        <v>380</v>
      </c>
      <c r="J16" s="238">
        <f t="shared" si="5"/>
        <v>380</v>
      </c>
      <c r="K16" s="242"/>
    </row>
  </sheetData>
  <mergeCells count="2">
    <mergeCell ref="C2:K2"/>
    <mergeCell ref="C3:K3"/>
  </mergeCells>
  <pageMargins left="0.7" right="0.7" top="0.75" bottom="0.75" header="0.3" footer="0.3"/>
  <pageSetup paperSize="9" orientation="portrait" r:id="rId1"/>
  <ignoredErrors>
    <ignoredError sqref="D8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M40"/>
  <sheetViews>
    <sheetView topLeftCell="F1" workbookViewId="0">
      <selection activeCell="F23" sqref="F23"/>
    </sheetView>
  </sheetViews>
  <sheetFormatPr baseColWidth="10" defaultColWidth="11.3984375" defaultRowHeight="14.25" x14ac:dyDescent="0.45"/>
  <cols>
    <col min="2" max="2" width="33.59765625" customWidth="1"/>
    <col min="3" max="3" width="18.265625" customWidth="1"/>
    <col min="5" max="5" width="34" customWidth="1"/>
    <col min="6" max="6" width="35.86328125" customWidth="1"/>
    <col min="7" max="7" width="15.265625" customWidth="1"/>
    <col min="8" max="8" width="13.59765625" customWidth="1"/>
    <col min="10" max="10" width="46.73046875" customWidth="1"/>
    <col min="11" max="11" width="24.265625" customWidth="1"/>
    <col min="12" max="12" width="13.265625" customWidth="1"/>
    <col min="13" max="13" width="7.3984375" customWidth="1"/>
  </cols>
  <sheetData>
    <row r="2" spans="2:8" x14ac:dyDescent="0.45">
      <c r="B2" s="51" t="s">
        <v>333</v>
      </c>
      <c r="C2" s="73" t="s">
        <v>261</v>
      </c>
      <c r="F2" s="51" t="s">
        <v>334</v>
      </c>
      <c r="G2" s="38" t="s">
        <v>335</v>
      </c>
      <c r="H2" s="1" t="s">
        <v>26</v>
      </c>
    </row>
    <row r="3" spans="2:8" x14ac:dyDescent="0.45">
      <c r="B3" s="40" t="s">
        <v>330</v>
      </c>
      <c r="C3" s="72">
        <v>800</v>
      </c>
      <c r="F3" s="51" t="s">
        <v>336</v>
      </c>
      <c r="G3" s="38"/>
      <c r="H3" s="72">
        <f>G4+G5+G6+G7</f>
        <v>9229.8933333333334</v>
      </c>
    </row>
    <row r="4" spans="2:8" x14ac:dyDescent="0.45">
      <c r="B4" s="40" t="s">
        <v>331</v>
      </c>
      <c r="C4" s="72">
        <v>300</v>
      </c>
      <c r="F4" s="38" t="s">
        <v>337</v>
      </c>
      <c r="G4" s="102">
        <f>MP!E9</f>
        <v>6752.8850000000002</v>
      </c>
      <c r="H4" s="72"/>
    </row>
    <row r="5" spans="2:8" x14ac:dyDescent="0.45">
      <c r="B5" s="40" t="s">
        <v>338</v>
      </c>
      <c r="C5" s="72">
        <v>800</v>
      </c>
      <c r="F5" s="38" t="s">
        <v>339</v>
      </c>
      <c r="G5" s="102">
        <f>L29*65</f>
        <v>522.59999999999991</v>
      </c>
      <c r="H5" s="72"/>
    </row>
    <row r="6" spans="2:8" x14ac:dyDescent="0.45">
      <c r="B6" s="51" t="s">
        <v>340</v>
      </c>
      <c r="C6" s="73">
        <f>SUM(C3:C5)</f>
        <v>1900</v>
      </c>
      <c r="F6" s="38" t="s">
        <v>341</v>
      </c>
      <c r="G6" s="102">
        <f>L40</f>
        <v>330.6</v>
      </c>
      <c r="H6" s="72"/>
    </row>
    <row r="7" spans="2:8" ht="14.65" thickBot="1" x14ac:dyDescent="0.5">
      <c r="F7" s="38" t="s">
        <v>342</v>
      </c>
      <c r="G7" s="102">
        <f>Remun!I14</f>
        <v>1623.8083333333334</v>
      </c>
      <c r="H7" s="38"/>
    </row>
    <row r="8" spans="2:8" x14ac:dyDescent="0.45">
      <c r="B8" s="87" t="s">
        <v>343</v>
      </c>
      <c r="C8" s="88" t="s">
        <v>203</v>
      </c>
      <c r="D8" s="89" t="s">
        <v>344</v>
      </c>
      <c r="F8" s="51" t="s">
        <v>345</v>
      </c>
      <c r="G8" s="1"/>
      <c r="H8" s="72">
        <f>SUM(G9:G10)</f>
        <v>2357.83</v>
      </c>
    </row>
    <row r="9" spans="2:8" x14ac:dyDescent="0.45">
      <c r="B9" s="90" t="s">
        <v>346</v>
      </c>
      <c r="C9" s="84">
        <v>1</v>
      </c>
      <c r="D9" s="91">
        <v>40</v>
      </c>
      <c r="F9" s="38" t="s">
        <v>347</v>
      </c>
      <c r="G9" s="102">
        <f>Remun!I6</f>
        <v>2248.83</v>
      </c>
      <c r="H9" s="38"/>
    </row>
    <row r="10" spans="2:8" x14ac:dyDescent="0.45">
      <c r="B10" s="92" t="s">
        <v>348</v>
      </c>
      <c r="C10" s="84">
        <v>1</v>
      </c>
      <c r="D10" s="91">
        <v>30</v>
      </c>
      <c r="F10" s="38" t="s">
        <v>349</v>
      </c>
      <c r="G10" s="102">
        <f>D13</f>
        <v>109</v>
      </c>
      <c r="H10" s="38"/>
    </row>
    <row r="11" spans="2:8" x14ac:dyDescent="0.45">
      <c r="B11" s="93" t="s">
        <v>350</v>
      </c>
      <c r="C11" s="52">
        <v>1</v>
      </c>
      <c r="D11" s="91">
        <v>29</v>
      </c>
      <c r="F11" s="51" t="s">
        <v>351</v>
      </c>
      <c r="G11" s="1"/>
      <c r="H11" s="38"/>
    </row>
    <row r="12" spans="2:8" ht="14.65" thickBot="1" x14ac:dyDescent="0.5">
      <c r="B12" s="94" t="s">
        <v>352</v>
      </c>
      <c r="C12" s="95">
        <v>1</v>
      </c>
      <c r="D12" s="96">
        <v>10</v>
      </c>
      <c r="F12" s="38" t="s">
        <v>353</v>
      </c>
      <c r="G12" s="102">
        <v>200</v>
      </c>
      <c r="H12" s="72">
        <f>SUM(G12:G14)</f>
        <v>1860</v>
      </c>
    </row>
    <row r="13" spans="2:8" ht="14.65" thickBot="1" x14ac:dyDescent="0.5">
      <c r="B13" s="87" t="s">
        <v>354</v>
      </c>
      <c r="C13" s="87"/>
      <c r="D13" s="97">
        <f>SUM(D9:D12)</f>
        <v>109</v>
      </c>
      <c r="F13" s="38" t="s">
        <v>355</v>
      </c>
      <c r="G13" s="313">
        <f>D17</f>
        <v>1500</v>
      </c>
      <c r="H13" s="38"/>
    </row>
    <row r="14" spans="2:8" x14ac:dyDescent="0.45">
      <c r="F14" s="38" t="s">
        <v>356</v>
      </c>
      <c r="G14" s="102">
        <v>160</v>
      </c>
      <c r="H14" s="38"/>
    </row>
    <row r="15" spans="2:8" ht="14.65" thickBot="1" x14ac:dyDescent="0.5">
      <c r="F15" s="51" t="s">
        <v>357</v>
      </c>
      <c r="G15" s="102"/>
      <c r="H15" s="279">
        <f>G16</f>
        <v>402.90583333333331</v>
      </c>
    </row>
    <row r="16" spans="2:8" x14ac:dyDescent="0.45">
      <c r="B16" s="87" t="s">
        <v>343</v>
      </c>
      <c r="C16" s="88" t="s">
        <v>203</v>
      </c>
      <c r="D16" s="89" t="s">
        <v>344</v>
      </c>
      <c r="F16" s="38" t="s">
        <v>358</v>
      </c>
      <c r="G16" s="262">
        <f>Amor!I11</f>
        <v>402.90583333333331</v>
      </c>
      <c r="H16" s="38"/>
    </row>
    <row r="17" spans="2:13" x14ac:dyDescent="0.45">
      <c r="B17" s="38" t="s">
        <v>355</v>
      </c>
      <c r="C17" s="84">
        <v>1</v>
      </c>
      <c r="D17" s="91">
        <v>1500</v>
      </c>
      <c r="F17" s="51" t="s">
        <v>359</v>
      </c>
      <c r="G17" s="1"/>
      <c r="H17" s="427">
        <f>SUM(H3:H16)</f>
        <v>13850.629166666668</v>
      </c>
    </row>
    <row r="19" spans="2:13" x14ac:dyDescent="0.45">
      <c r="H19" s="426">
        <f>H17*2</f>
        <v>27701.258333333335</v>
      </c>
    </row>
    <row r="20" spans="2:13" ht="14.65" thickBot="1" x14ac:dyDescent="0.5"/>
    <row r="21" spans="2:13" ht="14.65" thickBot="1" x14ac:dyDescent="0.5">
      <c r="J21" s="348" t="s">
        <v>360</v>
      </c>
      <c r="K21" s="349" t="s">
        <v>109</v>
      </c>
      <c r="L21" s="362" t="s">
        <v>110</v>
      </c>
      <c r="M21" s="350" t="s">
        <v>111</v>
      </c>
    </row>
    <row r="22" spans="2:13" x14ac:dyDescent="0.45">
      <c r="J22" s="347" t="s">
        <v>112</v>
      </c>
      <c r="K22" s="353" t="s">
        <v>113</v>
      </c>
      <c r="L22" s="359">
        <v>1.96</v>
      </c>
      <c r="M22" s="356">
        <v>2.69</v>
      </c>
    </row>
    <row r="23" spans="2:13" x14ac:dyDescent="0.45">
      <c r="J23" s="167" t="s">
        <v>114</v>
      </c>
      <c r="K23" s="354" t="s">
        <v>113</v>
      </c>
      <c r="L23" s="153">
        <v>1.96</v>
      </c>
      <c r="M23" s="357">
        <v>2.69</v>
      </c>
    </row>
    <row r="24" spans="2:13" x14ac:dyDescent="0.45">
      <c r="J24" s="167" t="s">
        <v>115</v>
      </c>
      <c r="K24" s="354" t="s">
        <v>113</v>
      </c>
      <c r="L24" s="153">
        <v>0.87</v>
      </c>
      <c r="M24" s="357">
        <v>1.1599999999999999</v>
      </c>
    </row>
    <row r="25" spans="2:13" x14ac:dyDescent="0.45">
      <c r="J25" s="167" t="s">
        <v>116</v>
      </c>
      <c r="K25" s="354" t="s">
        <v>113</v>
      </c>
      <c r="L25" s="153">
        <v>0.87</v>
      </c>
      <c r="M25" s="357">
        <v>1.1599999999999999</v>
      </c>
    </row>
    <row r="26" spans="2:13" x14ac:dyDescent="0.45">
      <c r="J26" s="167" t="s">
        <v>117</v>
      </c>
      <c r="K26" s="354" t="s">
        <v>118</v>
      </c>
      <c r="L26" s="153">
        <v>2.1</v>
      </c>
      <c r="M26" s="357">
        <v>2.6</v>
      </c>
    </row>
    <row r="27" spans="2:13" x14ac:dyDescent="0.45">
      <c r="J27" s="167" t="s">
        <v>119</v>
      </c>
      <c r="K27" s="354" t="s">
        <v>120</v>
      </c>
      <c r="L27" s="153">
        <v>0.13</v>
      </c>
      <c r="M27" s="357">
        <v>0.2</v>
      </c>
    </row>
    <row r="28" spans="2:13" ht="14.65" thickBot="1" x14ac:dyDescent="0.5">
      <c r="J28" s="346" t="s">
        <v>121</v>
      </c>
      <c r="K28" s="355" t="s">
        <v>113</v>
      </c>
      <c r="L28" s="360">
        <v>0.15</v>
      </c>
      <c r="M28" s="358">
        <v>0.2</v>
      </c>
    </row>
    <row r="29" spans="2:13" ht="14.65" thickBot="1" x14ac:dyDescent="0.5">
      <c r="J29" s="295" t="s">
        <v>26</v>
      </c>
      <c r="K29" s="351"/>
      <c r="L29" s="361">
        <f>SUM(L22:L28)</f>
        <v>8.0399999999999991</v>
      </c>
      <c r="M29" s="352">
        <f>SUM(M22:M28)</f>
        <v>10.7</v>
      </c>
    </row>
    <row r="30" spans="2:13" ht="14.65" thickBot="1" x14ac:dyDescent="0.5">
      <c r="J30" s="363"/>
      <c r="K30" s="123"/>
      <c r="L30" s="39"/>
      <c r="M30" s="39"/>
    </row>
    <row r="31" spans="2:13" ht="16.5" customHeight="1" thickBot="1" x14ac:dyDescent="0.5">
      <c r="J31" s="348" t="s">
        <v>360</v>
      </c>
      <c r="K31" s="362" t="s">
        <v>109</v>
      </c>
      <c r="L31" s="369" t="s">
        <v>110</v>
      </c>
      <c r="M31" s="365" t="s">
        <v>111</v>
      </c>
    </row>
    <row r="32" spans="2:13" ht="15.4" x14ac:dyDescent="0.45">
      <c r="J32" s="364" t="s">
        <v>131</v>
      </c>
      <c r="K32" s="366" t="s">
        <v>113</v>
      </c>
      <c r="L32" s="359">
        <v>96</v>
      </c>
      <c r="M32" s="542" t="s">
        <v>132</v>
      </c>
    </row>
    <row r="33" spans="10:13" x14ac:dyDescent="0.45">
      <c r="J33" s="167" t="s">
        <v>133</v>
      </c>
      <c r="K33" s="367" t="s">
        <v>113</v>
      </c>
      <c r="L33" s="153">
        <v>66.739999999999995</v>
      </c>
      <c r="M33" s="543"/>
    </row>
    <row r="34" spans="10:13" x14ac:dyDescent="0.45">
      <c r="J34" s="167" t="s">
        <v>134</v>
      </c>
      <c r="K34" s="367" t="s">
        <v>113</v>
      </c>
      <c r="L34" s="153">
        <v>50</v>
      </c>
      <c r="M34" s="543"/>
    </row>
    <row r="35" spans="10:13" x14ac:dyDescent="0.45">
      <c r="J35" s="167" t="s">
        <v>135</v>
      </c>
      <c r="K35" s="367" t="s">
        <v>113</v>
      </c>
      <c r="L35" s="153">
        <v>30.54</v>
      </c>
      <c r="M35" s="543"/>
    </row>
    <row r="36" spans="10:13" x14ac:dyDescent="0.45">
      <c r="J36" s="167" t="s">
        <v>136</v>
      </c>
      <c r="K36" s="367" t="s">
        <v>113</v>
      </c>
      <c r="L36" s="153">
        <v>70</v>
      </c>
      <c r="M36" s="543"/>
    </row>
    <row r="37" spans="10:13" x14ac:dyDescent="0.45">
      <c r="J37" s="167" t="s">
        <v>137</v>
      </c>
      <c r="K37" s="367" t="s">
        <v>113</v>
      </c>
      <c r="L37" s="153">
        <v>5</v>
      </c>
      <c r="M37" s="543"/>
    </row>
    <row r="38" spans="10:13" x14ac:dyDescent="0.45">
      <c r="J38" s="167" t="s">
        <v>119</v>
      </c>
      <c r="K38" s="367" t="s">
        <v>120</v>
      </c>
      <c r="L38" s="153">
        <f>0.13*44</f>
        <v>5.7200000000000006</v>
      </c>
      <c r="M38" s="370">
        <v>0.2</v>
      </c>
    </row>
    <row r="39" spans="10:13" ht="14.65" thickBot="1" x14ac:dyDescent="0.5">
      <c r="J39" s="346" t="s">
        <v>121</v>
      </c>
      <c r="K39" s="368" t="s">
        <v>113</v>
      </c>
      <c r="L39" s="360">
        <f>0.15*44</f>
        <v>6.6</v>
      </c>
      <c r="M39" s="371">
        <v>0.2</v>
      </c>
    </row>
    <row r="40" spans="10:13" ht="14.65" thickBot="1" x14ac:dyDescent="0.5">
      <c r="J40" s="295" t="s">
        <v>26</v>
      </c>
      <c r="K40" s="163"/>
      <c r="L40" s="373">
        <f>SUM(L32:L39)</f>
        <v>330.6</v>
      </c>
      <c r="M40" s="372"/>
    </row>
  </sheetData>
  <mergeCells count="1">
    <mergeCell ref="M32:M37"/>
  </mergeCells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3:K13"/>
  <sheetViews>
    <sheetView workbookViewId="0">
      <selection activeCell="F4" sqref="F4:K9"/>
    </sheetView>
  </sheetViews>
  <sheetFormatPr baseColWidth="10" defaultColWidth="11.3984375" defaultRowHeight="14.25" x14ac:dyDescent="0.45"/>
  <cols>
    <col min="2" max="2" width="18.3984375" customWidth="1"/>
    <col min="3" max="3" width="15.3984375" customWidth="1"/>
    <col min="4" max="4" width="12" bestFit="1" customWidth="1"/>
    <col min="6" max="6" width="12.1328125" bestFit="1" customWidth="1"/>
    <col min="7" max="7" width="12" bestFit="1" customWidth="1"/>
    <col min="8" max="8" width="12.1328125" bestFit="1" customWidth="1"/>
    <col min="9" max="9" width="13.59765625" customWidth="1"/>
    <col min="10" max="10" width="12.1328125" bestFit="1" customWidth="1"/>
    <col min="11" max="11" width="13" customWidth="1"/>
  </cols>
  <sheetData>
    <row r="3" spans="2:11" ht="14.65" thickBot="1" x14ac:dyDescent="0.5">
      <c r="C3" s="103">
        <v>0.6</v>
      </c>
      <c r="D3" s="103">
        <v>0.4</v>
      </c>
      <c r="G3" s="260">
        <v>0.125</v>
      </c>
    </row>
    <row r="4" spans="2:11" ht="14.65" thickBot="1" x14ac:dyDescent="0.5">
      <c r="B4" s="544" t="s">
        <v>361</v>
      </c>
      <c r="C4" s="545"/>
      <c r="F4" s="177" t="s">
        <v>362</v>
      </c>
      <c r="G4" s="178" t="s">
        <v>363</v>
      </c>
      <c r="H4" s="178" t="s">
        <v>364</v>
      </c>
      <c r="I4" s="178" t="s">
        <v>365</v>
      </c>
      <c r="J4" s="178" t="s">
        <v>366</v>
      </c>
      <c r="K4" s="179" t="s">
        <v>367</v>
      </c>
    </row>
    <row r="5" spans="2:11" x14ac:dyDescent="0.45">
      <c r="B5" s="155" t="s">
        <v>368</v>
      </c>
      <c r="C5" s="173">
        <f>C7*D3</f>
        <v>29337.619333333336</v>
      </c>
      <c r="D5" s="172"/>
      <c r="F5" s="176">
        <v>1</v>
      </c>
      <c r="G5" s="247">
        <f>C5</f>
        <v>29337.619333333336</v>
      </c>
      <c r="H5" s="261">
        <f>PMT(G$3,5,-$G$5)</f>
        <v>8239.5888855732283</v>
      </c>
      <c r="I5" s="261">
        <f>IPMT($G$3,F5,5,-$G$5)</f>
        <v>3667.202416666667</v>
      </c>
      <c r="J5" s="266">
        <f>PPMT($G$3,F5,5,-$G$5)</f>
        <v>4572.3864689065613</v>
      </c>
      <c r="K5" s="248">
        <f>G5-J5</f>
        <v>24765.232864426776</v>
      </c>
    </row>
    <row r="6" spans="2:11" x14ac:dyDescent="0.45">
      <c r="B6" s="155" t="s">
        <v>369</v>
      </c>
      <c r="C6" s="173">
        <f>C7*C3</f>
        <v>44006.429000000004</v>
      </c>
      <c r="D6" s="172"/>
      <c r="F6" s="145">
        <v>2</v>
      </c>
      <c r="G6" s="102">
        <f>K5</f>
        <v>24765.232864426776</v>
      </c>
      <c r="H6" s="262">
        <f>H5</f>
        <v>8239.5888855732283</v>
      </c>
      <c r="I6" s="261">
        <f t="shared" ref="I6:I9" si="0">IPMT($G$3,F6,5,-$G$5)</f>
        <v>3095.654108053347</v>
      </c>
      <c r="J6" s="266">
        <f t="shared" ref="J6:J9" si="1">PPMT($G$3,F6,5,-$G$5)</f>
        <v>5143.9347775198821</v>
      </c>
      <c r="K6" s="249">
        <f t="shared" ref="K6:K9" si="2">G6-J6</f>
        <v>19621.298086906892</v>
      </c>
    </row>
    <row r="7" spans="2:11" ht="14.65" thickBot="1" x14ac:dyDescent="0.5">
      <c r="B7" s="174" t="s">
        <v>26</v>
      </c>
      <c r="C7" s="175">
        <f>INV!G7</f>
        <v>73344.04833333334</v>
      </c>
      <c r="F7" s="258">
        <v>3</v>
      </c>
      <c r="G7" s="259">
        <f>K6</f>
        <v>19621.298086906892</v>
      </c>
      <c r="H7" s="263">
        <f>H5</f>
        <v>8239.5888855732283</v>
      </c>
      <c r="I7" s="261">
        <f t="shared" si="0"/>
        <v>2452.6622608633616</v>
      </c>
      <c r="J7" s="266">
        <f t="shared" si="1"/>
        <v>5786.9266247098676</v>
      </c>
      <c r="K7" s="249">
        <f t="shared" si="2"/>
        <v>13834.371462197025</v>
      </c>
    </row>
    <row r="8" spans="2:11" x14ac:dyDescent="0.45">
      <c r="C8" s="172">
        <f>C5+C6</f>
        <v>73344.04833333334</v>
      </c>
      <c r="F8" s="258">
        <v>4</v>
      </c>
      <c r="G8" s="259">
        <f>K7</f>
        <v>13834.371462197025</v>
      </c>
      <c r="H8" s="263">
        <f>H5</f>
        <v>8239.5888855732283</v>
      </c>
      <c r="I8" s="261">
        <f t="shared" si="0"/>
        <v>1729.2964327746281</v>
      </c>
      <c r="J8" s="266">
        <f t="shared" si="1"/>
        <v>6510.2924527985997</v>
      </c>
      <c r="K8" s="249">
        <f t="shared" si="2"/>
        <v>7324.0790093984251</v>
      </c>
    </row>
    <row r="9" spans="2:11" ht="14.65" thickBot="1" x14ac:dyDescent="0.5">
      <c r="C9" s="172"/>
      <c r="F9" s="144">
        <v>5</v>
      </c>
      <c r="G9" s="250">
        <f>K8</f>
        <v>7324.0790093984251</v>
      </c>
      <c r="H9" s="264">
        <f>H5</f>
        <v>8239.5888855732283</v>
      </c>
      <c r="I9" s="267">
        <f t="shared" si="0"/>
        <v>915.50987617480325</v>
      </c>
      <c r="J9" s="268">
        <f t="shared" si="1"/>
        <v>7324.0790093984251</v>
      </c>
      <c r="K9" s="251">
        <f t="shared" si="2"/>
        <v>0</v>
      </c>
    </row>
    <row r="10" spans="2:11" x14ac:dyDescent="0.45">
      <c r="C10" s="172"/>
      <c r="I10" s="265">
        <f>SUM(I5:I9)</f>
        <v>11860.325094532807</v>
      </c>
    </row>
    <row r="11" spans="2:11" x14ac:dyDescent="0.45">
      <c r="I11" s="277">
        <f>4834.87/12</f>
        <v>402.90583333333331</v>
      </c>
      <c r="J11" s="278"/>
    </row>
    <row r="12" spans="2:11" x14ac:dyDescent="0.45">
      <c r="I12" s="206">
        <f>4081.33/12</f>
        <v>340.11083333333335</v>
      </c>
      <c r="J12" s="206"/>
      <c r="K12" s="206"/>
    </row>
    <row r="13" spans="2:11" x14ac:dyDescent="0.45">
      <c r="H13" t="s">
        <v>370</v>
      </c>
      <c r="I13" s="206">
        <f>I11+I12</f>
        <v>743.01666666666665</v>
      </c>
    </row>
  </sheetData>
  <mergeCells count="1">
    <mergeCell ref="B4:C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3:J17"/>
  <sheetViews>
    <sheetView topLeftCell="G4" workbookViewId="0">
      <selection activeCell="K17" sqref="K17"/>
    </sheetView>
  </sheetViews>
  <sheetFormatPr baseColWidth="10" defaultColWidth="11.3984375" defaultRowHeight="14.25" x14ac:dyDescent="0.45"/>
  <cols>
    <col min="2" max="2" width="27.3984375" customWidth="1"/>
    <col min="3" max="3" width="26.73046875" customWidth="1"/>
    <col min="4" max="4" width="22.1328125" customWidth="1"/>
    <col min="5" max="5" width="20.3984375" customWidth="1"/>
    <col min="7" max="7" width="29.265625" customWidth="1"/>
    <col min="8" max="8" width="24.73046875" customWidth="1"/>
    <col min="9" max="9" width="22.3984375" customWidth="1"/>
    <col min="10" max="10" width="18.86328125" customWidth="1"/>
  </cols>
  <sheetData>
    <row r="3" spans="2:10" ht="14.65" thickBot="1" x14ac:dyDescent="0.5">
      <c r="G3" t="s">
        <v>371</v>
      </c>
    </row>
    <row r="4" spans="2:10" x14ac:dyDescent="0.45">
      <c r="B4" s="150" t="s">
        <v>372</v>
      </c>
      <c r="C4" s="147" t="s">
        <v>373</v>
      </c>
      <c r="D4" s="180" t="s">
        <v>250</v>
      </c>
      <c r="E4" s="181" t="s">
        <v>251</v>
      </c>
      <c r="G4" s="150" t="s">
        <v>372</v>
      </c>
      <c r="H4" s="147" t="s">
        <v>374</v>
      </c>
      <c r="I4" s="180" t="s">
        <v>250</v>
      </c>
      <c r="J4" s="181" t="s">
        <v>251</v>
      </c>
    </row>
    <row r="5" spans="2:10" ht="21" customHeight="1" x14ac:dyDescent="0.45">
      <c r="B5" s="146" t="s">
        <v>163</v>
      </c>
      <c r="C5" s="152">
        <f>MP!C4</f>
        <v>1683.95</v>
      </c>
      <c r="D5" s="270">
        <v>4.29</v>
      </c>
      <c r="E5" s="168">
        <f>C5*D5</f>
        <v>7224.1455000000005</v>
      </c>
      <c r="G5" s="146" t="s">
        <v>163</v>
      </c>
      <c r="H5" s="152">
        <f>MP!C13</f>
        <v>33837.137999999999</v>
      </c>
      <c r="I5" s="270">
        <v>4</v>
      </c>
      <c r="J5" s="168">
        <f>H5*I5</f>
        <v>135348.552</v>
      </c>
    </row>
    <row r="6" spans="2:10" ht="42" customHeight="1" x14ac:dyDescent="0.45">
      <c r="B6" s="146" t="s">
        <v>167</v>
      </c>
      <c r="C6" s="152">
        <f>MP!C5</f>
        <v>102.7</v>
      </c>
      <c r="D6" s="270">
        <v>4.25</v>
      </c>
      <c r="E6" s="168">
        <f>C6*D6</f>
        <v>436.47500000000002</v>
      </c>
      <c r="G6" s="146" t="s">
        <v>167</v>
      </c>
      <c r="H6" s="152">
        <f>MP!C14</f>
        <v>1495.2</v>
      </c>
      <c r="I6" s="270">
        <v>4</v>
      </c>
      <c r="J6" s="168">
        <f t="shared" ref="J6:J9" si="0">H6*I6</f>
        <v>5980.8</v>
      </c>
    </row>
    <row r="7" spans="2:10" ht="30.75" customHeight="1" x14ac:dyDescent="0.45">
      <c r="B7" s="146" t="s">
        <v>168</v>
      </c>
      <c r="C7" s="152">
        <f>MP!C6</f>
        <v>31.6</v>
      </c>
      <c r="D7" s="270">
        <v>13.9</v>
      </c>
      <c r="E7" s="168">
        <f t="shared" ref="E7:E9" si="1">C7*D7</f>
        <v>439.24</v>
      </c>
      <c r="G7" s="146" t="s">
        <v>168</v>
      </c>
      <c r="H7" s="152">
        <f>MP!C15</f>
        <v>462.8</v>
      </c>
      <c r="I7" s="270">
        <v>13</v>
      </c>
      <c r="J7" s="168">
        <f t="shared" si="0"/>
        <v>6016.4000000000005</v>
      </c>
    </row>
    <row r="8" spans="2:10" ht="25.5" customHeight="1" x14ac:dyDescent="0.45">
      <c r="B8" s="146" t="s">
        <v>169</v>
      </c>
      <c r="C8" s="152">
        <f>MP!C7</f>
        <v>47.400000000000006</v>
      </c>
      <c r="D8" s="270">
        <v>25</v>
      </c>
      <c r="E8" s="168">
        <f t="shared" si="1"/>
        <v>1185.0000000000002</v>
      </c>
      <c r="G8" s="146" t="s">
        <v>169</v>
      </c>
      <c r="H8" s="152">
        <f>MP!C16</f>
        <v>676.4</v>
      </c>
      <c r="I8" s="270">
        <v>23.5</v>
      </c>
      <c r="J8" s="168">
        <f t="shared" si="0"/>
        <v>15895.4</v>
      </c>
    </row>
    <row r="9" spans="2:10" ht="17.25" customHeight="1" thickBot="1" x14ac:dyDescent="0.5">
      <c r="B9" s="148" t="s">
        <v>170</v>
      </c>
      <c r="C9" s="152">
        <f>MP!C8</f>
        <v>489.8</v>
      </c>
      <c r="D9" s="271">
        <v>4</v>
      </c>
      <c r="E9" s="170">
        <f t="shared" si="1"/>
        <v>1959.2</v>
      </c>
      <c r="G9" s="148" t="s">
        <v>170</v>
      </c>
      <c r="H9" s="152">
        <f>MP!C17</f>
        <v>6888.6</v>
      </c>
      <c r="I9" s="271">
        <v>3.7</v>
      </c>
      <c r="J9" s="170">
        <f t="shared" si="0"/>
        <v>25487.820000000003</v>
      </c>
    </row>
    <row r="10" spans="2:10" ht="14.65" thickBot="1" x14ac:dyDescent="0.5">
      <c r="B10" s="149" t="s">
        <v>26</v>
      </c>
      <c r="C10" s="164">
        <f>SUM(C5:C9)</f>
        <v>2355.4500000000003</v>
      </c>
      <c r="D10" s="245"/>
      <c r="E10" s="273">
        <f>SUM(E5:E9)</f>
        <v>11244.060500000001</v>
      </c>
      <c r="G10" s="149" t="s">
        <v>26</v>
      </c>
      <c r="H10" s="164">
        <f>SUM(H5:H9)</f>
        <v>43360.137999999999</v>
      </c>
      <c r="I10" s="272"/>
      <c r="J10" s="273">
        <f>SUM(J5:J9)</f>
        <v>188728.97199999998</v>
      </c>
    </row>
    <row r="11" spans="2:10" x14ac:dyDescent="0.45">
      <c r="I11" s="172"/>
    </row>
    <row r="12" spans="2:10" ht="14.65" thickBot="1" x14ac:dyDescent="0.5"/>
    <row r="13" spans="2:10" ht="14.65" thickBot="1" x14ac:dyDescent="0.5">
      <c r="C13" s="147" t="s">
        <v>373</v>
      </c>
      <c r="D13" s="180" t="s">
        <v>250</v>
      </c>
      <c r="E13" s="181" t="s">
        <v>251</v>
      </c>
      <c r="H13" s="147" t="s">
        <v>374</v>
      </c>
      <c r="I13" s="180" t="s">
        <v>250</v>
      </c>
      <c r="J13" s="181" t="s">
        <v>251</v>
      </c>
    </row>
    <row r="14" spans="2:10" ht="41.25" x14ac:dyDescent="0.45">
      <c r="B14" s="182" t="s">
        <v>375</v>
      </c>
      <c r="C14" s="152">
        <f>30</f>
        <v>30</v>
      </c>
      <c r="D14" s="270">
        <v>16</v>
      </c>
      <c r="E14" s="168">
        <f>C14*D14</f>
        <v>480</v>
      </c>
      <c r="G14" s="182" t="s">
        <v>375</v>
      </c>
      <c r="H14" s="183">
        <f>Deman!J11</f>
        <v>834.28379999999993</v>
      </c>
      <c r="I14" s="274">
        <v>14</v>
      </c>
      <c r="J14" s="275">
        <f>H14*I14</f>
        <v>11679.973199999999</v>
      </c>
    </row>
    <row r="15" spans="2:10" ht="14.65" thickBot="1" x14ac:dyDescent="0.5"/>
    <row r="16" spans="2:10" ht="14.65" thickBot="1" x14ac:dyDescent="0.5">
      <c r="H16" s="147" t="s">
        <v>374</v>
      </c>
      <c r="I16" s="180" t="s">
        <v>250</v>
      </c>
      <c r="J16" s="181" t="s">
        <v>251</v>
      </c>
    </row>
    <row r="17" spans="7:10" ht="27.75" x14ac:dyDescent="0.45">
      <c r="G17" s="182" t="s">
        <v>376</v>
      </c>
      <c r="H17" s="183">
        <f>Deman!J18</f>
        <v>1549.3842</v>
      </c>
      <c r="I17" s="274">
        <v>13</v>
      </c>
      <c r="J17" s="275">
        <f>H17*I17</f>
        <v>20141.994599999998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G10"/>
  <sheetViews>
    <sheetView workbookViewId="0">
      <selection activeCell="C5" sqref="C5"/>
    </sheetView>
  </sheetViews>
  <sheetFormatPr baseColWidth="10" defaultColWidth="11.3984375" defaultRowHeight="14.25" x14ac:dyDescent="0.45"/>
  <cols>
    <col min="2" max="2" width="28.59765625" customWidth="1"/>
    <col min="3" max="3" width="15.265625" customWidth="1"/>
    <col min="4" max="4" width="13.73046875" customWidth="1"/>
    <col min="5" max="5" width="15.3984375" customWidth="1"/>
    <col min="6" max="6" width="13.59765625" customWidth="1"/>
    <col min="7" max="7" width="15.3984375" customWidth="1"/>
  </cols>
  <sheetData>
    <row r="1" spans="2:7" x14ac:dyDescent="0.45">
      <c r="D1" s="107"/>
      <c r="E1">
        <v>1.046</v>
      </c>
    </row>
    <row r="2" spans="2:7" ht="14.65" thickBot="1" x14ac:dyDescent="0.5">
      <c r="C2">
        <v>1</v>
      </c>
      <c r="D2">
        <v>2</v>
      </c>
      <c r="E2">
        <v>3</v>
      </c>
      <c r="F2">
        <v>4</v>
      </c>
      <c r="G2">
        <v>5</v>
      </c>
    </row>
    <row r="3" spans="2:7" x14ac:dyDescent="0.45">
      <c r="B3" s="150" t="s">
        <v>377</v>
      </c>
      <c r="C3" s="181" t="s">
        <v>378</v>
      </c>
      <c r="D3" s="181" t="s">
        <v>185</v>
      </c>
      <c r="E3" s="181" t="s">
        <v>186</v>
      </c>
      <c r="F3" s="181" t="s">
        <v>187</v>
      </c>
      <c r="G3" s="186" t="s">
        <v>188</v>
      </c>
    </row>
    <row r="4" spans="2:7" x14ac:dyDescent="0.45">
      <c r="B4" s="184" t="s">
        <v>379</v>
      </c>
      <c r="C4" s="167"/>
      <c r="D4" s="208">
        <v>4.5999999999999999E-2</v>
      </c>
      <c r="E4" s="208">
        <v>4.5999999999999999E-2</v>
      </c>
      <c r="F4" s="208">
        <v>4.5999999999999999E-2</v>
      </c>
      <c r="G4" s="208">
        <v>4.5999999999999999E-2</v>
      </c>
    </row>
    <row r="5" spans="2:7" x14ac:dyDescent="0.45">
      <c r="B5" s="184" t="s">
        <v>380</v>
      </c>
      <c r="C5" s="168">
        <f>'Pre Ing'!J10</f>
        <v>188728.97199999998</v>
      </c>
      <c r="D5" s="187">
        <f>C5*E1</f>
        <v>197410.50471199999</v>
      </c>
      <c r="E5" s="187">
        <f>D5*E1</f>
        <v>206491.387928752</v>
      </c>
      <c r="F5" s="187">
        <f>E5*E1</f>
        <v>215989.99177347458</v>
      </c>
      <c r="G5" s="187">
        <f>F5*E1</f>
        <v>225925.53139505442</v>
      </c>
    </row>
    <row r="6" spans="2:7" ht="30" customHeight="1" x14ac:dyDescent="0.45">
      <c r="B6" s="185" t="s">
        <v>381</v>
      </c>
      <c r="C6" s="168">
        <f>'Pre Ing'!J14</f>
        <v>11679.973199999999</v>
      </c>
      <c r="D6" s="168">
        <f>C6*E1</f>
        <v>12217.2519672</v>
      </c>
      <c r="E6" s="168">
        <f>D6*E1</f>
        <v>12779.2455576912</v>
      </c>
      <c r="F6" s="168">
        <f>E6*E1</f>
        <v>13367.090853344995</v>
      </c>
      <c r="G6" s="188">
        <f>F6*E1</f>
        <v>13981.977032598865</v>
      </c>
    </row>
    <row r="7" spans="2:7" ht="30" customHeight="1" x14ac:dyDescent="0.45">
      <c r="B7" s="185" t="s">
        <v>382</v>
      </c>
      <c r="C7" s="170">
        <f>'Pre Ing'!J17</f>
        <v>20141.994599999998</v>
      </c>
      <c r="D7" s="170">
        <f>C7*E1</f>
        <v>21068.526351599998</v>
      </c>
      <c r="E7" s="170">
        <f>D7*E1</f>
        <v>22037.678563773599</v>
      </c>
      <c r="F7" s="170">
        <f>E7*E1</f>
        <v>23051.411777707184</v>
      </c>
      <c r="G7" s="316">
        <f>F7*E1</f>
        <v>24111.776719481717</v>
      </c>
    </row>
    <row r="8" spans="2:7" ht="14.65" thickBot="1" x14ac:dyDescent="0.5">
      <c r="B8" s="184" t="s">
        <v>26</v>
      </c>
      <c r="C8" s="169">
        <f>SUM(C5:C7)</f>
        <v>220550.93979999999</v>
      </c>
      <c r="D8" s="169">
        <f t="shared" ref="D8:G8" si="0">SUM(D5:D7)</f>
        <v>230696.2830308</v>
      </c>
      <c r="E8" s="169">
        <f t="shared" si="0"/>
        <v>241308.3120502168</v>
      </c>
      <c r="F8" s="169">
        <f t="shared" si="0"/>
        <v>252408.49440452678</v>
      </c>
      <c r="G8" s="169">
        <f t="shared" si="0"/>
        <v>264019.28514713503</v>
      </c>
    </row>
    <row r="10" spans="2:7" x14ac:dyDescent="0.45">
      <c r="D10" s="172"/>
      <c r="E10" s="172"/>
      <c r="F10" s="17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78"/>
  <sheetViews>
    <sheetView topLeftCell="A46" workbookViewId="0">
      <selection activeCell="D68" sqref="D68"/>
    </sheetView>
  </sheetViews>
  <sheetFormatPr baseColWidth="10" defaultColWidth="11.3984375" defaultRowHeight="14.25" x14ac:dyDescent="0.45"/>
  <cols>
    <col min="2" max="2" width="36.59765625" customWidth="1"/>
    <col min="3" max="3" width="15.265625" customWidth="1"/>
    <col min="4" max="4" width="14.265625" customWidth="1"/>
    <col min="6" max="6" width="27.73046875" customWidth="1"/>
    <col min="7" max="7" width="14.59765625" customWidth="1"/>
  </cols>
  <sheetData>
    <row r="1" spans="2:4" ht="14.65" thickBot="1" x14ac:dyDescent="0.5"/>
    <row r="2" spans="2:4" ht="15.75" customHeight="1" thickBot="1" x14ac:dyDescent="0.5">
      <c r="B2" s="546" t="s">
        <v>383</v>
      </c>
      <c r="C2" s="547"/>
    </row>
    <row r="3" spans="2:4" ht="14.65" thickBot="1" x14ac:dyDescent="0.5">
      <c r="B3" s="67" t="s">
        <v>360</v>
      </c>
      <c r="C3" s="189" t="s">
        <v>344</v>
      </c>
    </row>
    <row r="4" spans="2:4" x14ac:dyDescent="0.45">
      <c r="B4" s="192" t="s">
        <v>384</v>
      </c>
      <c r="C4" s="68">
        <f>Remun!I6</f>
        <v>2248.83</v>
      </c>
    </row>
    <row r="5" spans="2:4" x14ac:dyDescent="0.45">
      <c r="B5" s="184" t="s">
        <v>385</v>
      </c>
      <c r="C5" s="70">
        <f>CNT!D13</f>
        <v>109</v>
      </c>
    </row>
    <row r="6" spans="2:4" x14ac:dyDescent="0.45">
      <c r="B6" s="184" t="s">
        <v>386</v>
      </c>
      <c r="C6" s="70">
        <f>CNT!G12</f>
        <v>200</v>
      </c>
    </row>
    <row r="7" spans="2:4" x14ac:dyDescent="0.45">
      <c r="B7" s="184" t="s">
        <v>387</v>
      </c>
      <c r="C7" s="70">
        <f>CNT!G13</f>
        <v>1500</v>
      </c>
      <c r="D7" s="172">
        <f>SUM(C4:C7)</f>
        <v>4057.83</v>
      </c>
    </row>
    <row r="8" spans="2:4" x14ac:dyDescent="0.45">
      <c r="B8" s="191" t="s">
        <v>388</v>
      </c>
      <c r="C8" s="190">
        <f>Depre!F11/12</f>
        <v>441.09158333333335</v>
      </c>
      <c r="D8" s="172"/>
    </row>
    <row r="9" spans="2:4" ht="17.25" customHeight="1" x14ac:dyDescent="0.45">
      <c r="B9" s="191" t="s">
        <v>389</v>
      </c>
      <c r="C9" s="190">
        <f>Depre!F16/12</f>
        <v>31.666666666666668</v>
      </c>
      <c r="D9" s="172"/>
    </row>
    <row r="10" spans="2:4" ht="17.25" customHeight="1" x14ac:dyDescent="0.45">
      <c r="B10" s="191" t="s">
        <v>358</v>
      </c>
      <c r="C10" s="190">
        <f>Amor!I5/12</f>
        <v>305.60020138888893</v>
      </c>
      <c r="D10" s="172"/>
    </row>
    <row r="11" spans="2:4" ht="17.25" customHeight="1" x14ac:dyDescent="0.45">
      <c r="B11" s="191" t="s">
        <v>356</v>
      </c>
      <c r="C11" s="190">
        <f>CNT!G14</f>
        <v>160</v>
      </c>
      <c r="D11" s="172"/>
    </row>
    <row r="12" spans="2:4" ht="14.65" thickBot="1" x14ac:dyDescent="0.5">
      <c r="B12" s="191" t="s">
        <v>66</v>
      </c>
      <c r="C12" s="190">
        <f>D7*5%</f>
        <v>202.89150000000001</v>
      </c>
    </row>
    <row r="13" spans="2:4" ht="14.65" thickBot="1" x14ac:dyDescent="0.5">
      <c r="B13" s="67" t="s">
        <v>26</v>
      </c>
      <c r="C13" s="195">
        <f>SUM(C4:C12)</f>
        <v>5199.0799513888887</v>
      </c>
    </row>
    <row r="14" spans="2:4" ht="14.65" thickBot="1" x14ac:dyDescent="0.5"/>
    <row r="15" spans="2:4" ht="14.65" thickBot="1" x14ac:dyDescent="0.5">
      <c r="B15" s="546" t="s">
        <v>390</v>
      </c>
      <c r="C15" s="547"/>
    </row>
    <row r="16" spans="2:4" ht="14.65" thickBot="1" x14ac:dyDescent="0.5">
      <c r="B16" s="67" t="s">
        <v>360</v>
      </c>
      <c r="C16" s="314" t="s">
        <v>344</v>
      </c>
    </row>
    <row r="17" spans="2:3" x14ac:dyDescent="0.45">
      <c r="B17" s="199" t="s">
        <v>163</v>
      </c>
      <c r="C17" s="203">
        <f>MP!E4</f>
        <v>4209.875</v>
      </c>
    </row>
    <row r="18" spans="2:3" x14ac:dyDescent="0.45">
      <c r="B18" s="199" t="s">
        <v>167</v>
      </c>
      <c r="C18" s="203">
        <f>MP!E5</f>
        <v>256.75</v>
      </c>
    </row>
    <row r="19" spans="2:3" x14ac:dyDescent="0.45">
      <c r="B19" s="199" t="s">
        <v>168</v>
      </c>
      <c r="C19" s="203">
        <f>MP!E6</f>
        <v>276.5</v>
      </c>
    </row>
    <row r="20" spans="2:3" x14ac:dyDescent="0.45">
      <c r="B20" s="199" t="s">
        <v>169</v>
      </c>
      <c r="C20" s="203">
        <f>MP!E7</f>
        <v>687.30000000000007</v>
      </c>
    </row>
    <row r="21" spans="2:3" x14ac:dyDescent="0.45">
      <c r="B21" s="199" t="s">
        <v>170</v>
      </c>
      <c r="C21" s="315">
        <f>MP!E8</f>
        <v>1322.46</v>
      </c>
    </row>
    <row r="22" spans="2:3" x14ac:dyDescent="0.45">
      <c r="B22" s="199" t="s">
        <v>391</v>
      </c>
      <c r="C22" s="315">
        <f>Remun!I14</f>
        <v>1623.8083333333334</v>
      </c>
    </row>
    <row r="23" spans="2:3" x14ac:dyDescent="0.45">
      <c r="B23" s="199" t="s">
        <v>392</v>
      </c>
      <c r="C23" s="315">
        <f>CNT!G5</f>
        <v>522.59999999999991</v>
      </c>
    </row>
    <row r="24" spans="2:3" x14ac:dyDescent="0.45">
      <c r="B24" s="199" t="s">
        <v>393</v>
      </c>
      <c r="C24" s="315">
        <f>CNT!G6</f>
        <v>330.6</v>
      </c>
    </row>
    <row r="25" spans="2:3" ht="14.65" thickBot="1" x14ac:dyDescent="0.5">
      <c r="B25" s="196" t="s">
        <v>26</v>
      </c>
      <c r="C25" s="205">
        <f>SUM(C17:C24)</f>
        <v>9229.8933333333334</v>
      </c>
    </row>
    <row r="27" spans="2:3" ht="14.65" thickBot="1" x14ac:dyDescent="0.5">
      <c r="C27">
        <v>12</v>
      </c>
    </row>
    <row r="28" spans="2:3" ht="14.65" thickBot="1" x14ac:dyDescent="0.5">
      <c r="B28" s="546" t="s">
        <v>394</v>
      </c>
      <c r="C28" s="547"/>
    </row>
    <row r="29" spans="2:3" ht="14.65" thickBot="1" x14ac:dyDescent="0.5">
      <c r="B29" s="67" t="s">
        <v>360</v>
      </c>
      <c r="C29" s="189" t="s">
        <v>344</v>
      </c>
    </row>
    <row r="30" spans="2:3" x14ac:dyDescent="0.45">
      <c r="B30" s="192" t="s">
        <v>384</v>
      </c>
      <c r="C30" s="68">
        <f>C4*12</f>
        <v>26985.96</v>
      </c>
    </row>
    <row r="31" spans="2:3" x14ac:dyDescent="0.45">
      <c r="B31" s="184" t="s">
        <v>385</v>
      </c>
      <c r="C31" s="70">
        <f>C5*12</f>
        <v>1308</v>
      </c>
    </row>
    <row r="32" spans="2:3" x14ac:dyDescent="0.45">
      <c r="B32" s="184" t="s">
        <v>386</v>
      </c>
      <c r="C32" s="70">
        <f>C6*12</f>
        <v>2400</v>
      </c>
    </row>
    <row r="33" spans="2:4" x14ac:dyDescent="0.45">
      <c r="B33" s="184" t="s">
        <v>387</v>
      </c>
      <c r="C33" s="70">
        <f>C7*4</f>
        <v>6000</v>
      </c>
      <c r="D33" s="172">
        <f>SUM(C30:C33)</f>
        <v>36693.96</v>
      </c>
    </row>
    <row r="34" spans="2:4" x14ac:dyDescent="0.45">
      <c r="B34" s="191" t="s">
        <v>388</v>
      </c>
      <c r="C34" s="70">
        <f>Depre!F11</f>
        <v>5293.0990000000002</v>
      </c>
      <c r="D34" s="172"/>
    </row>
    <row r="35" spans="2:4" x14ac:dyDescent="0.45">
      <c r="B35" s="191" t="s">
        <v>389</v>
      </c>
      <c r="C35" s="70">
        <f>Depre!F16</f>
        <v>380</v>
      </c>
      <c r="D35" s="172"/>
    </row>
    <row r="36" spans="2:4" x14ac:dyDescent="0.45">
      <c r="B36" s="191" t="s">
        <v>358</v>
      </c>
      <c r="C36" s="70">
        <f>Amor!I5</f>
        <v>3667.202416666667</v>
      </c>
      <c r="D36" s="172"/>
    </row>
    <row r="37" spans="2:4" x14ac:dyDescent="0.45">
      <c r="B37" s="191" t="s">
        <v>356</v>
      </c>
      <c r="C37" s="70">
        <f>C11*12</f>
        <v>1920</v>
      </c>
      <c r="D37" s="172"/>
    </row>
    <row r="38" spans="2:4" ht="14.65" thickBot="1" x14ac:dyDescent="0.5">
      <c r="B38" s="191" t="s">
        <v>66</v>
      </c>
      <c r="C38" s="190">
        <f>D33*5%</f>
        <v>1834.6980000000001</v>
      </c>
    </row>
    <row r="39" spans="2:4" ht="14.65" thickBot="1" x14ac:dyDescent="0.5">
      <c r="B39" s="67" t="s">
        <v>26</v>
      </c>
      <c r="C39" s="195">
        <f>SUM(C30:C38)</f>
        <v>49788.959416666665</v>
      </c>
    </row>
    <row r="44" spans="2:4" ht="14.65" thickBot="1" x14ac:dyDescent="0.5"/>
    <row r="45" spans="2:4" ht="14.65" thickBot="1" x14ac:dyDescent="0.5">
      <c r="B45" s="546" t="s">
        <v>395</v>
      </c>
      <c r="C45" s="547"/>
    </row>
    <row r="46" spans="2:4" ht="14.65" thickBot="1" x14ac:dyDescent="0.5">
      <c r="B46" s="63" t="s">
        <v>360</v>
      </c>
      <c r="C46" s="189" t="s">
        <v>344</v>
      </c>
    </row>
    <row r="47" spans="2:4" x14ac:dyDescent="0.45">
      <c r="B47" s="317" t="s">
        <v>163</v>
      </c>
      <c r="C47" s="68">
        <f>MP!E13</f>
        <v>84592.845000000001</v>
      </c>
    </row>
    <row r="48" spans="2:4" x14ac:dyDescent="0.45">
      <c r="B48" s="193" t="s">
        <v>167</v>
      </c>
      <c r="C48" s="68">
        <f>MP!E14</f>
        <v>3738</v>
      </c>
    </row>
    <row r="49" spans="2:3" x14ac:dyDescent="0.45">
      <c r="B49" s="193" t="s">
        <v>168</v>
      </c>
      <c r="C49" s="68">
        <f>MP!E15</f>
        <v>4049.5</v>
      </c>
    </row>
    <row r="50" spans="2:3" x14ac:dyDescent="0.45">
      <c r="B50" s="193" t="s">
        <v>169</v>
      </c>
      <c r="C50" s="68">
        <f>MP!E16</f>
        <v>9807.7999999999993</v>
      </c>
    </row>
    <row r="51" spans="2:3" x14ac:dyDescent="0.45">
      <c r="B51" s="193" t="s">
        <v>170</v>
      </c>
      <c r="C51" s="68">
        <f>MP!E17</f>
        <v>18599.22</v>
      </c>
    </row>
    <row r="52" spans="2:3" x14ac:dyDescent="0.45">
      <c r="B52" s="193" t="s">
        <v>391</v>
      </c>
      <c r="C52" s="70">
        <f>Remun!J14</f>
        <v>19485.699999999997</v>
      </c>
    </row>
    <row r="53" spans="2:3" x14ac:dyDescent="0.45">
      <c r="B53" s="193" t="s">
        <v>392</v>
      </c>
      <c r="C53" s="70">
        <f>C23*12</f>
        <v>6271.1999999999989</v>
      </c>
    </row>
    <row r="54" spans="2:3" x14ac:dyDescent="0.45">
      <c r="B54" s="193" t="s">
        <v>393</v>
      </c>
      <c r="C54" s="70">
        <f>C24*4</f>
        <v>1322.4</v>
      </c>
    </row>
    <row r="55" spans="2:3" ht="14.65" thickBot="1" x14ac:dyDescent="0.5">
      <c r="B55" s="318" t="s">
        <v>26</v>
      </c>
      <c r="C55" s="197">
        <f>SUM(C47:C54)</f>
        <v>147866.66500000001</v>
      </c>
    </row>
    <row r="57" spans="2:3" ht="14.65" thickBot="1" x14ac:dyDescent="0.5"/>
    <row r="58" spans="2:3" ht="14.65" thickBot="1" x14ac:dyDescent="0.5">
      <c r="B58" s="546" t="s">
        <v>396</v>
      </c>
      <c r="C58" s="547"/>
    </row>
    <row r="59" spans="2:3" ht="14.65" thickBot="1" x14ac:dyDescent="0.5">
      <c r="B59" s="63" t="s">
        <v>395</v>
      </c>
      <c r="C59" s="189" t="s">
        <v>344</v>
      </c>
    </row>
    <row r="60" spans="2:3" x14ac:dyDescent="0.45">
      <c r="B60" s="198" t="s">
        <v>163</v>
      </c>
      <c r="C60" s="68">
        <f>C47</f>
        <v>84592.845000000001</v>
      </c>
    </row>
    <row r="61" spans="2:3" x14ac:dyDescent="0.45">
      <c r="B61" s="199" t="s">
        <v>167</v>
      </c>
      <c r="C61" s="68">
        <f t="shared" ref="C61:C64" si="0">C48</f>
        <v>3738</v>
      </c>
    </row>
    <row r="62" spans="2:3" x14ac:dyDescent="0.45">
      <c r="B62" s="199" t="s">
        <v>168</v>
      </c>
      <c r="C62" s="68">
        <f t="shared" si="0"/>
        <v>4049.5</v>
      </c>
    </row>
    <row r="63" spans="2:3" x14ac:dyDescent="0.45">
      <c r="B63" s="199" t="s">
        <v>169</v>
      </c>
      <c r="C63" s="68">
        <f t="shared" si="0"/>
        <v>9807.7999999999993</v>
      </c>
    </row>
    <row r="64" spans="2:3" x14ac:dyDescent="0.45">
      <c r="B64" s="199" t="s">
        <v>170</v>
      </c>
      <c r="C64" s="68">
        <f t="shared" si="0"/>
        <v>18599.22</v>
      </c>
    </row>
    <row r="65" spans="2:3" x14ac:dyDescent="0.45">
      <c r="B65" s="199" t="s">
        <v>391</v>
      </c>
      <c r="C65" s="68">
        <f>C52</f>
        <v>19485.699999999997</v>
      </c>
    </row>
    <row r="66" spans="2:3" x14ac:dyDescent="0.45">
      <c r="B66" s="199" t="s">
        <v>392</v>
      </c>
      <c r="C66" s="70">
        <f>C53</f>
        <v>6271.1999999999989</v>
      </c>
    </row>
    <row r="67" spans="2:3" x14ac:dyDescent="0.45">
      <c r="B67" s="199" t="s">
        <v>393</v>
      </c>
      <c r="C67" s="70">
        <f>C54</f>
        <v>1322.4</v>
      </c>
    </row>
    <row r="68" spans="2:3" x14ac:dyDescent="0.45">
      <c r="B68" s="199" t="s">
        <v>394</v>
      </c>
      <c r="C68" s="280"/>
    </row>
    <row r="69" spans="2:3" x14ac:dyDescent="0.45">
      <c r="B69" s="200" t="s">
        <v>384</v>
      </c>
      <c r="C69" s="70">
        <f t="shared" ref="C69:C76" si="1">C30</f>
        <v>26985.96</v>
      </c>
    </row>
    <row r="70" spans="2:3" x14ac:dyDescent="0.45">
      <c r="B70" s="201" t="s">
        <v>385</v>
      </c>
      <c r="C70" s="70">
        <f t="shared" si="1"/>
        <v>1308</v>
      </c>
    </row>
    <row r="71" spans="2:3" x14ac:dyDescent="0.45">
      <c r="B71" s="201" t="s">
        <v>386</v>
      </c>
      <c r="C71" s="70">
        <f t="shared" si="1"/>
        <v>2400</v>
      </c>
    </row>
    <row r="72" spans="2:3" x14ac:dyDescent="0.45">
      <c r="B72" s="201" t="s">
        <v>387</v>
      </c>
      <c r="C72" s="70">
        <f t="shared" si="1"/>
        <v>6000</v>
      </c>
    </row>
    <row r="73" spans="2:3" x14ac:dyDescent="0.45">
      <c r="B73" s="191" t="s">
        <v>388</v>
      </c>
      <c r="C73" s="70">
        <f t="shared" si="1"/>
        <v>5293.0990000000002</v>
      </c>
    </row>
    <row r="74" spans="2:3" x14ac:dyDescent="0.45">
      <c r="B74" s="191" t="s">
        <v>389</v>
      </c>
      <c r="C74" s="70">
        <f t="shared" si="1"/>
        <v>380</v>
      </c>
    </row>
    <row r="75" spans="2:3" x14ac:dyDescent="0.45">
      <c r="B75" s="191" t="s">
        <v>358</v>
      </c>
      <c r="C75" s="70">
        <f t="shared" si="1"/>
        <v>3667.202416666667</v>
      </c>
    </row>
    <row r="76" spans="2:3" x14ac:dyDescent="0.45">
      <c r="B76" s="191" t="s">
        <v>356</v>
      </c>
      <c r="C76" s="70">
        <f t="shared" si="1"/>
        <v>1920</v>
      </c>
    </row>
    <row r="77" spans="2:3" ht="14.65" thickBot="1" x14ac:dyDescent="0.5">
      <c r="B77" s="202" t="s">
        <v>66</v>
      </c>
      <c r="C77" s="70">
        <f t="shared" ref="C77" si="2">C38</f>
        <v>1834.6980000000001</v>
      </c>
    </row>
    <row r="78" spans="2:3" ht="14.65" thickBot="1" x14ac:dyDescent="0.5">
      <c r="B78" s="194" t="s">
        <v>26</v>
      </c>
      <c r="C78" s="197">
        <f>SUM(C60:C77)</f>
        <v>197655.62441666666</v>
      </c>
    </row>
  </sheetData>
  <mergeCells count="5">
    <mergeCell ref="B58:C58"/>
    <mergeCell ref="B2:C2"/>
    <mergeCell ref="B15:C15"/>
    <mergeCell ref="B45:C45"/>
    <mergeCell ref="B28:C28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14"/>
  <sheetViews>
    <sheetView workbookViewId="0">
      <selection activeCell="D4" sqref="D4"/>
    </sheetView>
  </sheetViews>
  <sheetFormatPr baseColWidth="10" defaultColWidth="11.3984375" defaultRowHeight="12.75" x14ac:dyDescent="0.35"/>
  <cols>
    <col min="1" max="1" width="28.59765625" style="74" customWidth="1"/>
    <col min="2" max="2" width="4.73046875" style="74" customWidth="1"/>
    <col min="3" max="7" width="11.3984375" style="74"/>
    <col min="8" max="8" width="14.73046875" style="74" customWidth="1"/>
    <col min="9" max="16384" width="11.3984375" style="74"/>
  </cols>
  <sheetData>
    <row r="1" spans="1:11" ht="13.15" thickBot="1" x14ac:dyDescent="0.4">
      <c r="A1" s="548" t="s">
        <v>397</v>
      </c>
      <c r="B1" s="549"/>
      <c r="C1" s="549"/>
      <c r="D1" s="549"/>
      <c r="E1" s="549"/>
      <c r="F1" s="549"/>
      <c r="G1" s="549"/>
      <c r="H1" s="549"/>
      <c r="I1" s="549"/>
      <c r="J1" s="550"/>
    </row>
    <row r="2" spans="1:11" ht="26.25" x14ac:dyDescent="0.4">
      <c r="A2" s="80" t="s">
        <v>398</v>
      </c>
      <c r="B2" s="81" t="s">
        <v>399</v>
      </c>
      <c r="C2" s="81" t="s">
        <v>400</v>
      </c>
      <c r="D2" s="82" t="s">
        <v>401</v>
      </c>
      <c r="E2" s="82" t="s">
        <v>402</v>
      </c>
      <c r="F2" s="82" t="s">
        <v>403</v>
      </c>
      <c r="G2" s="82" t="s">
        <v>404</v>
      </c>
      <c r="H2" s="82" t="s">
        <v>405</v>
      </c>
      <c r="I2" s="82" t="s">
        <v>406</v>
      </c>
      <c r="J2" s="83" t="s">
        <v>407</v>
      </c>
      <c r="K2" s="75"/>
    </row>
    <row r="3" spans="1:11" ht="13.9" x14ac:dyDescent="0.4">
      <c r="A3" s="38" t="s">
        <v>241</v>
      </c>
      <c r="B3" s="77">
        <v>1</v>
      </c>
      <c r="C3" s="98">
        <v>800</v>
      </c>
      <c r="D3" s="98">
        <f>C3/12</f>
        <v>66.666666666666671</v>
      </c>
      <c r="E3" s="98">
        <f>378/12</f>
        <v>31.5</v>
      </c>
      <c r="F3" s="98">
        <f>C3*12.15%</f>
        <v>97.2</v>
      </c>
      <c r="G3" s="98">
        <f>C3/12</f>
        <v>66.666666666666671</v>
      </c>
      <c r="H3" s="98">
        <f>C3/24</f>
        <v>33.333333333333336</v>
      </c>
      <c r="I3" s="98">
        <f>SUM(C3:H3)</f>
        <v>1095.3666666666666</v>
      </c>
      <c r="J3" s="99">
        <f>I3*12</f>
        <v>13144.399999999998</v>
      </c>
    </row>
    <row r="4" spans="1:11" ht="14.25" thickBot="1" x14ac:dyDescent="0.45">
      <c r="A4" s="38" t="s">
        <v>243</v>
      </c>
      <c r="B4" s="77">
        <v>1</v>
      </c>
      <c r="C4" s="98">
        <v>420</v>
      </c>
      <c r="D4" s="98">
        <f t="shared" ref="D4:D5" si="0">C4/12</f>
        <v>35</v>
      </c>
      <c r="E4" s="98">
        <f t="shared" ref="E4:E5" si="1">378/12</f>
        <v>31.5</v>
      </c>
      <c r="F4" s="98">
        <f>C4*12.15%</f>
        <v>51.03</v>
      </c>
      <c r="G4" s="98">
        <f t="shared" ref="G4:G5" si="2">C4/12</f>
        <v>35</v>
      </c>
      <c r="H4" s="98">
        <f>C4/24</f>
        <v>17.5</v>
      </c>
      <c r="I4" s="98">
        <f t="shared" ref="I4:I5" si="3">SUM(C4:H4)</f>
        <v>590.03</v>
      </c>
      <c r="J4" s="99">
        <f t="shared" ref="J4:J5" si="4">I4*12</f>
        <v>7080.36</v>
      </c>
    </row>
    <row r="5" spans="1:11" ht="14.65" thickBot="1" x14ac:dyDescent="0.5">
      <c r="A5" s="1" t="s">
        <v>245</v>
      </c>
      <c r="B5" s="77">
        <v>1</v>
      </c>
      <c r="C5" s="98">
        <v>400</v>
      </c>
      <c r="D5" s="98">
        <f t="shared" si="0"/>
        <v>33.333333333333336</v>
      </c>
      <c r="E5" s="98">
        <f t="shared" si="1"/>
        <v>31.5</v>
      </c>
      <c r="F5" s="98">
        <f>C5*12.15%</f>
        <v>48.6</v>
      </c>
      <c r="G5" s="98">
        <f t="shared" si="2"/>
        <v>33.333333333333336</v>
      </c>
      <c r="H5" s="98">
        <f>C5/24</f>
        <v>16.666666666666668</v>
      </c>
      <c r="I5" s="98">
        <f t="shared" si="3"/>
        <v>563.43333333333328</v>
      </c>
      <c r="J5" s="99">
        <f t="shared" si="4"/>
        <v>6761.1999999999989</v>
      </c>
    </row>
    <row r="6" spans="1:11" ht="13.5" thickBot="1" x14ac:dyDescent="0.45">
      <c r="A6" s="78" t="s">
        <v>26</v>
      </c>
      <c r="B6" s="79">
        <f t="shared" ref="B6:J6" si="5">SUM(B3:B5)</f>
        <v>3</v>
      </c>
      <c r="C6" s="100">
        <f t="shared" si="5"/>
        <v>1620</v>
      </c>
      <c r="D6" s="100">
        <f t="shared" si="5"/>
        <v>135</v>
      </c>
      <c r="E6" s="100">
        <f t="shared" si="5"/>
        <v>94.5</v>
      </c>
      <c r="F6" s="100">
        <f t="shared" si="5"/>
        <v>196.83</v>
      </c>
      <c r="G6" s="100">
        <f t="shared" si="5"/>
        <v>135</v>
      </c>
      <c r="H6" s="100">
        <f t="shared" si="5"/>
        <v>67.5</v>
      </c>
      <c r="I6" s="100">
        <f t="shared" si="5"/>
        <v>2248.83</v>
      </c>
      <c r="J6" s="101">
        <f t="shared" si="5"/>
        <v>26985.96</v>
      </c>
    </row>
    <row r="7" spans="1:11" x14ac:dyDescent="0.35">
      <c r="B7" s="76"/>
    </row>
    <row r="8" spans="1:11" ht="13.15" thickBot="1" x14ac:dyDescent="0.4"/>
    <row r="9" spans="1:11" ht="13.15" thickBot="1" x14ac:dyDescent="0.4">
      <c r="A9" s="548" t="s">
        <v>408</v>
      </c>
      <c r="B9" s="549"/>
      <c r="C9" s="549"/>
      <c r="D9" s="549"/>
      <c r="E9" s="549"/>
      <c r="F9" s="549"/>
      <c r="G9" s="549"/>
      <c r="H9" s="549"/>
      <c r="I9" s="549"/>
      <c r="J9" s="550"/>
    </row>
    <row r="10" spans="1:11" ht="26.25" x14ac:dyDescent="0.4">
      <c r="A10" s="80" t="s">
        <v>398</v>
      </c>
      <c r="B10" s="81" t="s">
        <v>399</v>
      </c>
      <c r="C10" s="81" t="s">
        <v>400</v>
      </c>
      <c r="D10" s="82" t="s">
        <v>401</v>
      </c>
      <c r="E10" s="82" t="s">
        <v>402</v>
      </c>
      <c r="F10" s="82" t="s">
        <v>403</v>
      </c>
      <c r="G10" s="82" t="s">
        <v>404</v>
      </c>
      <c r="H10" s="82" t="s">
        <v>405</v>
      </c>
      <c r="I10" s="82" t="s">
        <v>406</v>
      </c>
      <c r="J10" s="83" t="s">
        <v>407</v>
      </c>
    </row>
    <row r="11" spans="1:11" ht="14.25" x14ac:dyDescent="0.45">
      <c r="A11" s="1" t="s">
        <v>409</v>
      </c>
      <c r="B11" s="77">
        <v>1</v>
      </c>
      <c r="C11" s="98">
        <v>375</v>
      </c>
      <c r="D11" s="98">
        <f>C11/12</f>
        <v>31.25</v>
      </c>
      <c r="E11" s="98">
        <f>378/12</f>
        <v>31.5</v>
      </c>
      <c r="F11" s="98">
        <f>C11*12.15%</f>
        <v>45.5625</v>
      </c>
      <c r="G11" s="98">
        <f>C11/12</f>
        <v>31.25</v>
      </c>
      <c r="H11" s="98">
        <f>C11/24</f>
        <v>15.625</v>
      </c>
      <c r="I11" s="98">
        <f>SUM(C11:H11)</f>
        <v>530.1875</v>
      </c>
      <c r="J11" s="99">
        <f>I11*12</f>
        <v>6362.25</v>
      </c>
    </row>
    <row r="12" spans="1:11" ht="14.25" x14ac:dyDescent="0.45">
      <c r="A12" s="1" t="s">
        <v>244</v>
      </c>
      <c r="B12" s="77">
        <v>1</v>
      </c>
      <c r="C12" s="98">
        <v>375</v>
      </c>
      <c r="D12" s="98">
        <f t="shared" ref="D12:D13" si="6">C12/12</f>
        <v>31.25</v>
      </c>
      <c r="E12" s="98">
        <f t="shared" ref="E12:E13" si="7">378/12</f>
        <v>31.5</v>
      </c>
      <c r="F12" s="98">
        <f>C12*12.15%</f>
        <v>45.5625</v>
      </c>
      <c r="G12" s="98">
        <f t="shared" ref="G12:G13" si="8">C12/12</f>
        <v>31.25</v>
      </c>
      <c r="H12" s="98">
        <f>C12/24</f>
        <v>15.625</v>
      </c>
      <c r="I12" s="98">
        <f t="shared" ref="I12:I13" si="9">SUM(C12:H12)</f>
        <v>530.1875</v>
      </c>
      <c r="J12" s="99">
        <f t="shared" ref="J12:J13" si="10">I12*12</f>
        <v>6362.25</v>
      </c>
    </row>
    <row r="13" spans="1:11" ht="14.65" thickBot="1" x14ac:dyDescent="0.5">
      <c r="A13" s="142" t="s">
        <v>246</v>
      </c>
      <c r="B13" s="143">
        <v>1</v>
      </c>
      <c r="C13" s="98">
        <v>400</v>
      </c>
      <c r="D13" s="98">
        <f t="shared" si="6"/>
        <v>33.333333333333336</v>
      </c>
      <c r="E13" s="98">
        <f t="shared" si="7"/>
        <v>31.5</v>
      </c>
      <c r="F13" s="98">
        <f>C13*12.15%</f>
        <v>48.6</v>
      </c>
      <c r="G13" s="98">
        <f t="shared" si="8"/>
        <v>33.333333333333336</v>
      </c>
      <c r="H13" s="98">
        <f>C13/24</f>
        <v>16.666666666666668</v>
      </c>
      <c r="I13" s="98">
        <f t="shared" si="9"/>
        <v>563.43333333333328</v>
      </c>
      <c r="J13" s="99">
        <f t="shared" si="10"/>
        <v>6761.1999999999989</v>
      </c>
    </row>
    <row r="14" spans="1:11" ht="13.5" thickBot="1" x14ac:dyDescent="0.45">
      <c r="A14" s="78" t="s">
        <v>26</v>
      </c>
      <c r="B14" s="79">
        <f>SUM(B11:B13)</f>
        <v>3</v>
      </c>
      <c r="C14" s="100">
        <f>SUM(C11:C13)</f>
        <v>1150</v>
      </c>
      <c r="D14" s="100">
        <f t="shared" ref="D14:J14" si="11">SUM(D11:D13)</f>
        <v>95.833333333333343</v>
      </c>
      <c r="E14" s="100">
        <f t="shared" si="11"/>
        <v>94.5</v>
      </c>
      <c r="F14" s="100">
        <f t="shared" si="11"/>
        <v>139.72499999999999</v>
      </c>
      <c r="G14" s="100">
        <f t="shared" si="11"/>
        <v>95.833333333333343</v>
      </c>
      <c r="H14" s="100">
        <f t="shared" si="11"/>
        <v>47.916666666666671</v>
      </c>
      <c r="I14" s="100">
        <f t="shared" si="11"/>
        <v>1623.8083333333334</v>
      </c>
      <c r="J14" s="100">
        <f t="shared" si="11"/>
        <v>19485.699999999997</v>
      </c>
    </row>
  </sheetData>
  <mergeCells count="2">
    <mergeCell ref="A1:J1"/>
    <mergeCell ref="A9:J9"/>
  </mergeCells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J20"/>
  <sheetViews>
    <sheetView topLeftCell="C1" workbookViewId="0">
      <selection activeCell="H21" sqref="H21"/>
    </sheetView>
  </sheetViews>
  <sheetFormatPr baseColWidth="10" defaultColWidth="11.3984375" defaultRowHeight="14.25" x14ac:dyDescent="0.45"/>
  <cols>
    <col min="2" max="2" width="37.86328125" customWidth="1"/>
    <col min="3" max="3" width="25.86328125" customWidth="1"/>
    <col min="4" max="4" width="21.86328125" customWidth="1"/>
    <col min="5" max="5" width="18.73046875" customWidth="1"/>
  </cols>
  <sheetData>
    <row r="2" spans="2:10" ht="14.65" thickBot="1" x14ac:dyDescent="0.5"/>
    <row r="3" spans="2:10" x14ac:dyDescent="0.45">
      <c r="B3" s="150" t="s">
        <v>372</v>
      </c>
      <c r="C3" s="147" t="s">
        <v>373</v>
      </c>
      <c r="D3" s="151" t="s">
        <v>250</v>
      </c>
      <c r="E3" s="147" t="s">
        <v>410</v>
      </c>
    </row>
    <row r="4" spans="2:10" x14ac:dyDescent="0.45">
      <c r="B4" s="146" t="s">
        <v>163</v>
      </c>
      <c r="C4" s="152">
        <f>'Frac hos cli '!I10+'Frac Mer HOG PRO'!E5</f>
        <v>1683.95</v>
      </c>
      <c r="D4" s="204">
        <v>2.5</v>
      </c>
      <c r="E4" s="243">
        <f>C4*D4</f>
        <v>4209.875</v>
      </c>
      <c r="H4" s="204">
        <v>3.06</v>
      </c>
    </row>
    <row r="5" spans="2:10" ht="22.5" customHeight="1" x14ac:dyDescent="0.45">
      <c r="B5" s="146" t="s">
        <v>167</v>
      </c>
      <c r="C5" s="152">
        <f>'Frac hos cli '!I17</f>
        <v>102.7</v>
      </c>
      <c r="D5" s="204">
        <v>2.5</v>
      </c>
      <c r="E5" s="243">
        <f t="shared" ref="E5:E8" si="0">C5*D5</f>
        <v>256.75</v>
      </c>
      <c r="H5" s="204">
        <v>3.11</v>
      </c>
    </row>
    <row r="6" spans="2:10" x14ac:dyDescent="0.45">
      <c r="B6" s="146" t="s">
        <v>168</v>
      </c>
      <c r="C6" s="153">
        <f>'Frac hos cli '!I23</f>
        <v>31.6</v>
      </c>
      <c r="D6" s="204">
        <v>8.75</v>
      </c>
      <c r="E6" s="243">
        <f t="shared" si="0"/>
        <v>276.5</v>
      </c>
      <c r="H6" s="204">
        <v>10.18</v>
      </c>
    </row>
    <row r="7" spans="2:10" x14ac:dyDescent="0.45">
      <c r="B7" s="146" t="s">
        <v>169</v>
      </c>
      <c r="C7" s="153">
        <f>'Frac hos cli '!I29</f>
        <v>47.400000000000006</v>
      </c>
      <c r="D7" s="204">
        <v>14.5</v>
      </c>
      <c r="E7" s="243">
        <f t="shared" si="0"/>
        <v>687.30000000000007</v>
      </c>
      <c r="H7" s="204">
        <v>16.95</v>
      </c>
    </row>
    <row r="8" spans="2:10" ht="14.65" thickBot="1" x14ac:dyDescent="0.5">
      <c r="B8" s="148" t="s">
        <v>170</v>
      </c>
      <c r="C8" s="154">
        <f>'Frac hos cli '!I35</f>
        <v>489.8</v>
      </c>
      <c r="D8" s="244">
        <v>2.7</v>
      </c>
      <c r="E8" s="243">
        <f t="shared" si="0"/>
        <v>1322.46</v>
      </c>
      <c r="H8" s="244">
        <v>3.5</v>
      </c>
    </row>
    <row r="9" spans="2:10" ht="14.65" thickBot="1" x14ac:dyDescent="0.5">
      <c r="B9" s="149" t="s">
        <v>26</v>
      </c>
      <c r="C9" s="164">
        <f>SUM(C4:C8)</f>
        <v>2355.4500000000003</v>
      </c>
      <c r="D9" s="245"/>
      <c r="E9" s="246">
        <f>SUM(E4:E8)</f>
        <v>6752.8850000000002</v>
      </c>
    </row>
    <row r="11" spans="2:10" ht="14.65" thickBot="1" x14ac:dyDescent="0.5"/>
    <row r="12" spans="2:10" x14ac:dyDescent="0.45">
      <c r="B12" s="150" t="s">
        <v>372</v>
      </c>
      <c r="C12" s="147" t="s">
        <v>374</v>
      </c>
      <c r="D12" s="151" t="s">
        <v>250</v>
      </c>
      <c r="E12" s="147" t="s">
        <v>410</v>
      </c>
      <c r="G12" s="410" t="s">
        <v>411</v>
      </c>
      <c r="I12" s="415" t="s">
        <v>412</v>
      </c>
    </row>
    <row r="13" spans="2:10" x14ac:dyDescent="0.45">
      <c r="B13" s="146" t="s">
        <v>163</v>
      </c>
      <c r="C13" s="152">
        <f>Deman!B5+Deman!B37</f>
        <v>33837.137999999999</v>
      </c>
      <c r="D13" s="204">
        <f>D4</f>
        <v>2.5</v>
      </c>
      <c r="E13" s="243">
        <f>C13*D13</f>
        <v>84592.845000000001</v>
      </c>
      <c r="F13" s="120"/>
      <c r="G13" s="24">
        <f>C13</f>
        <v>33837.137999999999</v>
      </c>
      <c r="H13" s="120">
        <f>(G13/$G$18)-H15-H19</f>
        <v>0.75900091746479215</v>
      </c>
      <c r="I13">
        <f>Deman!J11</f>
        <v>834.28379999999993</v>
      </c>
      <c r="J13" s="120">
        <f>I13/$I$15</f>
        <v>0.35000000000000003</v>
      </c>
    </row>
    <row r="14" spans="2:10" x14ac:dyDescent="0.45">
      <c r="B14" s="146" t="s">
        <v>167</v>
      </c>
      <c r="C14" s="152">
        <f>Deman!B11</f>
        <v>1495.2</v>
      </c>
      <c r="D14" s="204">
        <f t="shared" ref="D14:D17" si="1">D5</f>
        <v>2.5</v>
      </c>
      <c r="E14" s="243">
        <f t="shared" ref="E14:E17" si="2">C14*D14</f>
        <v>3738</v>
      </c>
      <c r="F14" s="120"/>
      <c r="G14" s="24">
        <f t="shared" ref="G14:G17" si="3">C14</f>
        <v>1495.2</v>
      </c>
      <c r="H14" s="120">
        <f>G14/$G$18</f>
        <v>3.4483285085485663E-2</v>
      </c>
      <c r="I14">
        <f>Deman!J18</f>
        <v>1549.3842</v>
      </c>
      <c r="J14" s="120">
        <f t="shared" ref="J14:J15" si="4">I14/$I$15</f>
        <v>0.65</v>
      </c>
    </row>
    <row r="15" spans="2:10" x14ac:dyDescent="0.45">
      <c r="B15" s="146" t="s">
        <v>168</v>
      </c>
      <c r="C15" s="152">
        <f>Deman!B17</f>
        <v>462.8</v>
      </c>
      <c r="D15" s="204">
        <f t="shared" si="1"/>
        <v>8.75</v>
      </c>
      <c r="E15" s="243">
        <f t="shared" si="2"/>
        <v>4049.5</v>
      </c>
      <c r="F15" s="120"/>
      <c r="G15" s="24">
        <f t="shared" si="3"/>
        <v>462.8</v>
      </c>
      <c r="H15" s="120">
        <f>G15/$G$18</f>
        <v>1.0673397764555085E-2</v>
      </c>
      <c r="I15">
        <f>SUM(I13:I14)</f>
        <v>2383.6679999999997</v>
      </c>
      <c r="J15" s="120">
        <f t="shared" si="4"/>
        <v>1</v>
      </c>
    </row>
    <row r="16" spans="2:10" x14ac:dyDescent="0.45">
      <c r="B16" s="146" t="s">
        <v>169</v>
      </c>
      <c r="C16" s="152">
        <f>Deman!B24</f>
        <v>676.4</v>
      </c>
      <c r="D16" s="204">
        <f t="shared" si="1"/>
        <v>14.5</v>
      </c>
      <c r="E16" s="243">
        <f t="shared" si="2"/>
        <v>9807.7999999999993</v>
      </c>
      <c r="F16" s="120"/>
      <c r="G16" s="24">
        <f t="shared" si="3"/>
        <v>676.4</v>
      </c>
      <c r="H16" s="120">
        <f>G16/$G$18</f>
        <v>1.5599581348195894E-2</v>
      </c>
    </row>
    <row r="17" spans="2:8" ht="14.65" thickBot="1" x14ac:dyDescent="0.5">
      <c r="B17" s="148" t="s">
        <v>170</v>
      </c>
      <c r="C17" s="161">
        <f>Deman!B31</f>
        <v>6888.6</v>
      </c>
      <c r="D17" s="204">
        <f t="shared" si="1"/>
        <v>2.7</v>
      </c>
      <c r="E17" s="243">
        <f t="shared" si="2"/>
        <v>18599.22</v>
      </c>
      <c r="F17" s="120"/>
      <c r="G17" s="24">
        <f t="shared" si="3"/>
        <v>6888.6</v>
      </c>
      <c r="H17" s="120">
        <f>G17/$G$18</f>
        <v>0.1588694205724161</v>
      </c>
    </row>
    <row r="18" spans="2:8" ht="14.65" thickBot="1" x14ac:dyDescent="0.5">
      <c r="B18" s="149" t="s">
        <v>26</v>
      </c>
      <c r="C18" s="164">
        <f>SUM(C13:C17)</f>
        <v>43360.137999999999</v>
      </c>
      <c r="D18" s="245"/>
      <c r="E18" s="246">
        <f>SUM(E13:E17)</f>
        <v>120787.36500000001</v>
      </c>
      <c r="F18" s="120"/>
      <c r="G18" s="24">
        <f>SUM(G13:G17)</f>
        <v>43360.137999999999</v>
      </c>
      <c r="H18" s="107">
        <v>1.0699999999999999E-2</v>
      </c>
    </row>
    <row r="19" spans="2:8" x14ac:dyDescent="0.45">
      <c r="H19" s="107">
        <v>1.0699999999999999E-2</v>
      </c>
    </row>
    <row r="20" spans="2:8" x14ac:dyDescent="0.45">
      <c r="H20" s="120">
        <f>SUM(H13:H19)</f>
        <v>1.0000266022354452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5"/>
  <sheetViews>
    <sheetView workbookViewId="0">
      <selection activeCell="G3" sqref="G3"/>
    </sheetView>
  </sheetViews>
  <sheetFormatPr baseColWidth="10" defaultColWidth="11.3984375" defaultRowHeight="14.25" x14ac:dyDescent="0.45"/>
  <cols>
    <col min="1" max="1" width="3.59765625" style="123" customWidth="1"/>
    <col min="2" max="2" width="60.1328125" customWidth="1"/>
    <col min="3" max="3" width="17.86328125" style="123" customWidth="1"/>
    <col min="4" max="4" width="16.73046875" style="123" customWidth="1"/>
    <col min="5" max="5" width="15.3984375" customWidth="1"/>
    <col min="6" max="6" width="14" customWidth="1"/>
    <col min="9" max="10" width="18.3984375" customWidth="1"/>
    <col min="11" max="11" width="20.3984375" customWidth="1"/>
  </cols>
  <sheetData>
    <row r="1" spans="1:13" x14ac:dyDescent="0.45">
      <c r="A1" s="519" t="s">
        <v>41</v>
      </c>
      <c r="B1" s="520"/>
      <c r="C1" s="520"/>
      <c r="D1" s="520"/>
      <c r="E1" s="520"/>
      <c r="F1" s="520"/>
      <c r="G1" s="521"/>
    </row>
    <row r="2" spans="1:13" x14ac:dyDescent="0.45">
      <c r="A2" s="522" t="s">
        <v>42</v>
      </c>
      <c r="B2" s="523"/>
      <c r="C2" s="301" t="s">
        <v>43</v>
      </c>
      <c r="D2" s="301" t="s">
        <v>44</v>
      </c>
      <c r="E2" s="115"/>
      <c r="F2" s="115"/>
      <c r="G2" s="116" t="s">
        <v>45</v>
      </c>
    </row>
    <row r="3" spans="1:13" x14ac:dyDescent="0.45">
      <c r="A3" s="300"/>
      <c r="B3" s="1"/>
      <c r="C3" s="300">
        <v>237</v>
      </c>
      <c r="D3" s="300">
        <v>145</v>
      </c>
      <c r="E3" s="1"/>
      <c r="F3" s="1"/>
      <c r="G3" s="116">
        <f>C3+D3</f>
        <v>382</v>
      </c>
    </row>
    <row r="4" spans="1:13" x14ac:dyDescent="0.45">
      <c r="A4" s="300"/>
      <c r="B4" s="1"/>
      <c r="C4" s="301" t="s">
        <v>46</v>
      </c>
      <c r="D4" s="301" t="s">
        <v>47</v>
      </c>
      <c r="E4" s="1"/>
      <c r="F4" s="1"/>
      <c r="G4" s="116"/>
    </row>
    <row r="5" spans="1:13" ht="31.5" customHeight="1" x14ac:dyDescent="0.45">
      <c r="A5" s="300">
        <v>1</v>
      </c>
      <c r="B5" s="117" t="s">
        <v>48</v>
      </c>
      <c r="C5" s="118">
        <v>74</v>
      </c>
      <c r="D5" s="118">
        <v>308</v>
      </c>
      <c r="E5" s="119"/>
      <c r="F5" s="119"/>
      <c r="G5" s="116">
        <f>C5+D5</f>
        <v>382</v>
      </c>
    </row>
    <row r="6" spans="1:13" x14ac:dyDescent="0.45">
      <c r="A6" s="506">
        <v>3</v>
      </c>
      <c r="B6" s="513" t="s">
        <v>49</v>
      </c>
      <c r="C6" s="301" t="s">
        <v>50</v>
      </c>
      <c r="D6" s="301" t="s">
        <v>51</v>
      </c>
      <c r="E6" s="116"/>
      <c r="F6" s="116"/>
      <c r="G6" s="116"/>
    </row>
    <row r="7" spans="1:13" x14ac:dyDescent="0.45">
      <c r="A7" s="507"/>
      <c r="B7" s="514"/>
      <c r="C7" s="118">
        <v>63</v>
      </c>
      <c r="D7" s="118">
        <v>11</v>
      </c>
      <c r="E7" s="119"/>
      <c r="F7" s="119"/>
      <c r="G7" s="116">
        <f>C7+D7</f>
        <v>74</v>
      </c>
      <c r="I7" s="124" t="s">
        <v>52</v>
      </c>
    </row>
    <row r="8" spans="1:13" x14ac:dyDescent="0.45">
      <c r="A8" s="506">
        <v>4</v>
      </c>
      <c r="B8" s="524" t="s">
        <v>53</v>
      </c>
      <c r="C8" s="308" t="s">
        <v>54</v>
      </c>
      <c r="D8" s="308" t="s">
        <v>55</v>
      </c>
      <c r="E8" s="306" t="s">
        <v>56</v>
      </c>
      <c r="F8" s="306"/>
      <c r="G8" s="1"/>
      <c r="I8" t="s">
        <v>57</v>
      </c>
      <c r="J8" t="s">
        <v>58</v>
      </c>
      <c r="K8" t="s">
        <v>59</v>
      </c>
      <c r="L8" t="s">
        <v>60</v>
      </c>
    </row>
    <row r="9" spans="1:13" x14ac:dyDescent="0.45">
      <c r="A9" s="507"/>
      <c r="B9" s="524"/>
      <c r="C9" s="118">
        <v>58</v>
      </c>
      <c r="D9" s="118">
        <v>13</v>
      </c>
      <c r="E9" s="119">
        <v>3</v>
      </c>
      <c r="F9" s="119"/>
      <c r="G9" s="116">
        <f>C9+D9+E9</f>
        <v>74</v>
      </c>
      <c r="I9">
        <f>C9*5+D9*10+E9*25</f>
        <v>495</v>
      </c>
      <c r="J9">
        <f>I9/4</f>
        <v>123.75</v>
      </c>
      <c r="K9">
        <f>I9*6</f>
        <v>2970</v>
      </c>
      <c r="L9">
        <f>I9*12</f>
        <v>5940</v>
      </c>
      <c r="M9" t="s">
        <v>61</v>
      </c>
    </row>
    <row r="10" spans="1:13" x14ac:dyDescent="0.45">
      <c r="A10" s="506">
        <v>5</v>
      </c>
      <c r="B10" s="513" t="s">
        <v>62</v>
      </c>
      <c r="C10" s="301" t="s">
        <v>63</v>
      </c>
      <c r="D10" s="301" t="s">
        <v>64</v>
      </c>
      <c r="E10" s="116" t="s">
        <v>65</v>
      </c>
      <c r="F10" s="116" t="s">
        <v>66</v>
      </c>
      <c r="G10" s="1"/>
      <c r="J10">
        <f>I9*12</f>
        <v>5940</v>
      </c>
      <c r="K10">
        <f>K9+J9+I9</f>
        <v>3588.75</v>
      </c>
    </row>
    <row r="11" spans="1:13" x14ac:dyDescent="0.45">
      <c r="A11" s="507"/>
      <c r="B11" s="514"/>
      <c r="C11" s="121">
        <v>9</v>
      </c>
      <c r="D11" s="121">
        <v>5</v>
      </c>
      <c r="E11" s="122">
        <v>55</v>
      </c>
      <c r="F11" s="122">
        <v>5</v>
      </c>
      <c r="G11" s="1">
        <f>SUM(C11:F11)</f>
        <v>74</v>
      </c>
    </row>
    <row r="12" spans="1:13" x14ac:dyDescent="0.45">
      <c r="A12" s="515">
        <v>6</v>
      </c>
      <c r="B12" s="513" t="s">
        <v>67</v>
      </c>
      <c r="C12" s="301" t="s">
        <v>68</v>
      </c>
      <c r="D12" s="301" t="s">
        <v>69</v>
      </c>
      <c r="E12" s="116" t="s">
        <v>70</v>
      </c>
      <c r="F12" s="116" t="s">
        <v>71</v>
      </c>
      <c r="G12" s="116"/>
      <c r="K12">
        <f>I9*12/2</f>
        <v>2970</v>
      </c>
    </row>
    <row r="13" spans="1:13" x14ac:dyDescent="0.45">
      <c r="A13" s="516"/>
      <c r="B13" s="514"/>
      <c r="C13" s="121">
        <v>0</v>
      </c>
      <c r="D13" s="121">
        <v>0</v>
      </c>
      <c r="E13" s="122">
        <v>16</v>
      </c>
      <c r="F13" s="1">
        <v>58</v>
      </c>
      <c r="G13" s="1">
        <f>SUM(C13:F13)</f>
        <v>74</v>
      </c>
      <c r="I13" s="124" t="s">
        <v>72</v>
      </c>
    </row>
    <row r="14" spans="1:13" ht="15" customHeight="1" x14ac:dyDescent="0.45">
      <c r="A14" s="515">
        <v>7</v>
      </c>
      <c r="B14" s="517" t="s">
        <v>73</v>
      </c>
      <c r="C14" s="301" t="s">
        <v>46</v>
      </c>
      <c r="D14" s="301" t="s">
        <v>47</v>
      </c>
      <c r="E14" s="116"/>
      <c r="F14" s="116"/>
      <c r="G14" s="1"/>
      <c r="I14" t="s">
        <v>74</v>
      </c>
    </row>
    <row r="15" spans="1:13" x14ac:dyDescent="0.45">
      <c r="A15" s="516"/>
      <c r="B15" s="518"/>
      <c r="C15" s="121">
        <v>67</v>
      </c>
      <c r="D15" s="121">
        <v>7</v>
      </c>
      <c r="E15" s="122"/>
      <c r="F15" s="122"/>
      <c r="G15" s="1">
        <f>SUM(C15:F15)</f>
        <v>74</v>
      </c>
      <c r="I15">
        <f>(D17*4)+(E17*1)+(F17/3)</f>
        <v>66</v>
      </c>
      <c r="J15">
        <f>I15/4</f>
        <v>16.5</v>
      </c>
      <c r="K15">
        <f>I15*6</f>
        <v>396</v>
      </c>
      <c r="L15">
        <f>I15*12</f>
        <v>792</v>
      </c>
      <c r="M15" t="s">
        <v>75</v>
      </c>
    </row>
    <row r="16" spans="1:13" x14ac:dyDescent="0.45">
      <c r="A16" s="309"/>
      <c r="B16" s="504" t="s">
        <v>76</v>
      </c>
      <c r="C16" s="121" t="s">
        <v>77</v>
      </c>
      <c r="D16" s="121" t="s">
        <v>78</v>
      </c>
      <c r="E16" s="122" t="s">
        <v>1</v>
      </c>
      <c r="F16" s="122" t="s">
        <v>2</v>
      </c>
      <c r="G16" s="1"/>
    </row>
    <row r="17" spans="1:13" x14ac:dyDescent="0.45">
      <c r="A17" s="309"/>
      <c r="B17" s="505"/>
      <c r="C17" s="121">
        <v>0</v>
      </c>
      <c r="D17" s="121">
        <v>1</v>
      </c>
      <c r="E17" s="122">
        <v>60</v>
      </c>
      <c r="F17" s="122">
        <v>6</v>
      </c>
      <c r="G17" s="1">
        <f>SUM(C17:F17)</f>
        <v>67</v>
      </c>
    </row>
    <row r="18" spans="1:13" ht="15" customHeight="1" x14ac:dyDescent="0.45">
      <c r="A18" s="515">
        <v>8</v>
      </c>
      <c r="B18" s="513" t="s">
        <v>79</v>
      </c>
      <c r="C18" s="301" t="s">
        <v>80</v>
      </c>
      <c r="D18" s="301" t="s">
        <v>81</v>
      </c>
      <c r="E18" s="116" t="s">
        <v>82</v>
      </c>
      <c r="F18" s="116" t="s">
        <v>83</v>
      </c>
      <c r="G18" s="1"/>
    </row>
    <row r="19" spans="1:13" x14ac:dyDescent="0.45">
      <c r="A19" s="516"/>
      <c r="B19" s="514"/>
      <c r="C19" s="121">
        <v>12</v>
      </c>
      <c r="D19" s="121">
        <v>43</v>
      </c>
      <c r="E19" s="122">
        <v>9</v>
      </c>
      <c r="F19" s="122">
        <v>3</v>
      </c>
      <c r="G19" s="1">
        <f>SUM(C19:F19)</f>
        <v>67</v>
      </c>
    </row>
    <row r="20" spans="1:13" x14ac:dyDescent="0.45">
      <c r="A20" s="304">
        <v>9</v>
      </c>
      <c r="B20" s="517" t="s">
        <v>84</v>
      </c>
      <c r="C20" s="301" t="s">
        <v>46</v>
      </c>
      <c r="D20" s="301" t="s">
        <v>47</v>
      </c>
      <c r="E20" s="116"/>
      <c r="F20" s="116"/>
      <c r="G20" s="1"/>
      <c r="I20" s="124" t="s">
        <v>85</v>
      </c>
    </row>
    <row r="21" spans="1:13" ht="27" customHeight="1" x14ac:dyDescent="0.45">
      <c r="A21" s="305"/>
      <c r="B21" s="518"/>
      <c r="C21" s="121">
        <v>70</v>
      </c>
      <c r="D21" s="121">
        <v>4</v>
      </c>
      <c r="E21" s="122"/>
      <c r="F21" s="122"/>
      <c r="G21" s="1">
        <f>SUM(C21:F21)</f>
        <v>74</v>
      </c>
      <c r="H21" s="120">
        <f>C21/G21</f>
        <v>0.94594594594594594</v>
      </c>
      <c r="I21" t="s">
        <v>86</v>
      </c>
    </row>
    <row r="22" spans="1:13" ht="22.5" customHeight="1" x14ac:dyDescent="0.45">
      <c r="A22" s="309"/>
      <c r="B22" s="504" t="s">
        <v>87</v>
      </c>
      <c r="C22" s="121" t="s">
        <v>77</v>
      </c>
      <c r="D22" s="121" t="s">
        <v>78</v>
      </c>
      <c r="E22" s="122" t="s">
        <v>1</v>
      </c>
      <c r="F22" s="122" t="s">
        <v>2</v>
      </c>
      <c r="G22" s="1"/>
      <c r="I22">
        <f>(D23*4)+(E23*1)+(F23/3)</f>
        <v>74</v>
      </c>
      <c r="J22">
        <f>I22/4</f>
        <v>18.5</v>
      </c>
      <c r="K22">
        <f>I22*6</f>
        <v>444</v>
      </c>
      <c r="L22">
        <f>I22*12</f>
        <v>888</v>
      </c>
      <c r="M22" t="s">
        <v>75</v>
      </c>
    </row>
    <row r="23" spans="1:13" ht="15.75" customHeight="1" x14ac:dyDescent="0.45">
      <c r="A23" s="309"/>
      <c r="B23" s="505"/>
      <c r="C23" s="121">
        <v>0</v>
      </c>
      <c r="D23" s="121">
        <v>2</v>
      </c>
      <c r="E23" s="122">
        <v>65</v>
      </c>
      <c r="F23" s="122">
        <v>3</v>
      </c>
      <c r="G23" s="1">
        <f>SUM(C23:F23)</f>
        <v>70</v>
      </c>
      <c r="H23" s="130">
        <f>D23/G23</f>
        <v>2.8571428571428571E-2</v>
      </c>
      <c r="I23" s="120">
        <f>E23/G23</f>
        <v>0.9285714285714286</v>
      </c>
      <c r="J23" s="120">
        <f>F23/G23</f>
        <v>4.2857142857142858E-2</v>
      </c>
    </row>
    <row r="24" spans="1:13" ht="14.25" customHeight="1" x14ac:dyDescent="0.45">
      <c r="A24" s="304">
        <v>10</v>
      </c>
      <c r="B24" s="513" t="s">
        <v>88</v>
      </c>
      <c r="C24" s="301" t="s">
        <v>89</v>
      </c>
      <c r="D24" s="301" t="s">
        <v>90</v>
      </c>
      <c r="E24" s="116" t="s">
        <v>91</v>
      </c>
      <c r="F24" s="116" t="s">
        <v>92</v>
      </c>
      <c r="G24" s="1"/>
      <c r="H24" t="s">
        <v>93</v>
      </c>
      <c r="I24" t="s">
        <v>94</v>
      </c>
      <c r="J24" t="s">
        <v>95</v>
      </c>
    </row>
    <row r="25" spans="1:13" x14ac:dyDescent="0.45">
      <c r="A25" s="305"/>
      <c r="B25" s="514"/>
      <c r="C25" s="121">
        <v>0</v>
      </c>
      <c r="D25" s="121">
        <v>59</v>
      </c>
      <c r="E25" s="122">
        <v>5</v>
      </c>
      <c r="F25" s="122">
        <v>1</v>
      </c>
      <c r="G25" s="1">
        <f>SUM(C25:F25)</f>
        <v>65</v>
      </c>
    </row>
    <row r="26" spans="1:13" x14ac:dyDescent="0.45">
      <c r="A26" s="304">
        <v>11</v>
      </c>
      <c r="B26" s="502" t="s">
        <v>96</v>
      </c>
      <c r="C26" s="301" t="s">
        <v>46</v>
      </c>
      <c r="D26" s="301" t="s">
        <v>47</v>
      </c>
      <c r="E26" s="116"/>
      <c r="F26" s="116"/>
      <c r="G26" s="1"/>
      <c r="I26" s="124" t="s">
        <v>97</v>
      </c>
    </row>
    <row r="27" spans="1:13" x14ac:dyDescent="0.45">
      <c r="A27" s="305"/>
      <c r="B27" s="503"/>
      <c r="C27" s="121">
        <v>70</v>
      </c>
      <c r="D27" s="121">
        <v>4</v>
      </c>
      <c r="E27" s="122"/>
      <c r="F27" s="122"/>
      <c r="G27" s="1">
        <f>SUM(C27:F27)</f>
        <v>74</v>
      </c>
      <c r="I27" t="s">
        <v>86</v>
      </c>
    </row>
    <row r="28" spans="1:13" x14ac:dyDescent="0.45">
      <c r="A28" s="309"/>
      <c r="B28" s="504" t="s">
        <v>98</v>
      </c>
      <c r="C28" s="121" t="s">
        <v>77</v>
      </c>
      <c r="D28" s="121" t="s">
        <v>78</v>
      </c>
      <c r="E28" s="122" t="s">
        <v>1</v>
      </c>
      <c r="F28" s="122" t="s">
        <v>2</v>
      </c>
      <c r="G28" s="1"/>
      <c r="I28">
        <f>(D29*4)+(E29*1)+(F29/3)</f>
        <v>137</v>
      </c>
      <c r="J28">
        <f>I28/4</f>
        <v>34.25</v>
      </c>
      <c r="K28">
        <f>I28*6</f>
        <v>822</v>
      </c>
      <c r="L28">
        <f>I28*12</f>
        <v>1644</v>
      </c>
      <c r="M28" t="s">
        <v>75</v>
      </c>
    </row>
    <row r="29" spans="1:13" x14ac:dyDescent="0.45">
      <c r="A29" s="309"/>
      <c r="B29" s="505"/>
      <c r="C29" s="121">
        <v>0</v>
      </c>
      <c r="D29" s="121">
        <v>23</v>
      </c>
      <c r="E29" s="122">
        <v>44</v>
      </c>
      <c r="F29" s="122">
        <v>3</v>
      </c>
      <c r="G29" s="1">
        <f>SUM(C29:F29)</f>
        <v>70</v>
      </c>
      <c r="H29" s="130">
        <f>D29/G29</f>
        <v>0.32857142857142857</v>
      </c>
      <c r="I29" s="120">
        <f>E29/G29</f>
        <v>0.62857142857142856</v>
      </c>
      <c r="J29" s="120">
        <f>F29/G29</f>
        <v>4.2857142857142858E-2</v>
      </c>
    </row>
    <row r="30" spans="1:13" x14ac:dyDescent="0.45">
      <c r="A30" s="304">
        <v>12</v>
      </c>
      <c r="B30" s="302" t="s">
        <v>99</v>
      </c>
      <c r="C30" s="301" t="s">
        <v>89</v>
      </c>
      <c r="D30" s="301" t="s">
        <v>90</v>
      </c>
      <c r="E30" s="116" t="s">
        <v>91</v>
      </c>
      <c r="F30" s="116" t="s">
        <v>92</v>
      </c>
      <c r="G30" s="1"/>
    </row>
    <row r="31" spans="1:13" x14ac:dyDescent="0.45">
      <c r="A31" s="305"/>
      <c r="B31" s="303"/>
      <c r="C31" s="121">
        <v>27</v>
      </c>
      <c r="D31" s="121">
        <v>41</v>
      </c>
      <c r="E31" s="122">
        <v>2</v>
      </c>
      <c r="F31" s="122">
        <v>0</v>
      </c>
      <c r="G31" s="1">
        <f>SUM(C31:F31)</f>
        <v>70</v>
      </c>
    </row>
    <row r="32" spans="1:13" x14ac:dyDescent="0.45">
      <c r="A32" s="506">
        <v>13</v>
      </c>
      <c r="B32" s="508" t="s">
        <v>100</v>
      </c>
      <c r="C32" s="301" t="s">
        <v>101</v>
      </c>
      <c r="D32" s="301" t="s">
        <v>102</v>
      </c>
      <c r="E32" s="116" t="s">
        <v>103</v>
      </c>
      <c r="F32" s="116" t="s">
        <v>104</v>
      </c>
      <c r="G32" s="1"/>
    </row>
    <row r="33" spans="1:7" x14ac:dyDescent="0.45">
      <c r="A33" s="507"/>
      <c r="B33" s="509"/>
      <c r="C33" s="118">
        <v>28</v>
      </c>
      <c r="D33" s="118">
        <v>4</v>
      </c>
      <c r="E33" s="119">
        <v>12</v>
      </c>
      <c r="F33" s="119">
        <v>26</v>
      </c>
      <c r="G33" s="1">
        <f>SUM(C33:F33)</f>
        <v>70</v>
      </c>
    </row>
    <row r="36" spans="1:7" x14ac:dyDescent="0.45">
      <c r="B36" s="124" t="s">
        <v>105</v>
      </c>
    </row>
    <row r="38" spans="1:7" x14ac:dyDescent="0.45">
      <c r="B38" t="s">
        <v>106</v>
      </c>
      <c r="C38" s="123">
        <f>(C9*5)+(D9*10)+(E9*25)</f>
        <v>495</v>
      </c>
      <c r="D38" s="123" t="s">
        <v>107</v>
      </c>
    </row>
    <row r="40" spans="1:7" x14ac:dyDescent="0.45">
      <c r="B40" s="124" t="s">
        <v>108</v>
      </c>
      <c r="C40" s="123" t="s">
        <v>109</v>
      </c>
      <c r="D40" s="123" t="s">
        <v>110</v>
      </c>
      <c r="E40" s="123" t="s">
        <v>111</v>
      </c>
    </row>
    <row r="41" spans="1:7" x14ac:dyDescent="0.45">
      <c r="B41" s="1" t="s">
        <v>112</v>
      </c>
      <c r="C41" s="300" t="s">
        <v>113</v>
      </c>
      <c r="D41" s="300">
        <v>1.96</v>
      </c>
      <c r="E41" s="1">
        <v>2.69</v>
      </c>
    </row>
    <row r="42" spans="1:7" x14ac:dyDescent="0.45">
      <c r="B42" s="1" t="s">
        <v>114</v>
      </c>
      <c r="C42" s="300" t="s">
        <v>113</v>
      </c>
      <c r="D42" s="300">
        <v>1.96</v>
      </c>
      <c r="E42" s="1">
        <v>2.69</v>
      </c>
    </row>
    <row r="43" spans="1:7" x14ac:dyDescent="0.45">
      <c r="B43" s="1" t="s">
        <v>115</v>
      </c>
      <c r="C43" s="300" t="s">
        <v>113</v>
      </c>
      <c r="D43" s="300">
        <v>0.87</v>
      </c>
      <c r="E43" s="1">
        <v>1.1599999999999999</v>
      </c>
    </row>
    <row r="44" spans="1:7" x14ac:dyDescent="0.45">
      <c r="B44" s="1" t="s">
        <v>116</v>
      </c>
      <c r="C44" s="300" t="s">
        <v>113</v>
      </c>
      <c r="D44" s="300">
        <v>0.87</v>
      </c>
      <c r="E44" s="1">
        <v>1.1599999999999999</v>
      </c>
    </row>
    <row r="45" spans="1:7" x14ac:dyDescent="0.45">
      <c r="B45" s="1" t="s">
        <v>117</v>
      </c>
      <c r="C45" s="300" t="s">
        <v>118</v>
      </c>
      <c r="D45" s="300">
        <v>2.1</v>
      </c>
      <c r="E45" s="1">
        <v>2.6</v>
      </c>
    </row>
    <row r="46" spans="1:7" x14ac:dyDescent="0.45">
      <c r="B46" s="1" t="s">
        <v>119</v>
      </c>
      <c r="C46" s="300" t="s">
        <v>120</v>
      </c>
      <c r="D46" s="300">
        <v>0.13</v>
      </c>
      <c r="E46" s="1">
        <v>0.2</v>
      </c>
    </row>
    <row r="47" spans="1:7" x14ac:dyDescent="0.45">
      <c r="B47" s="1" t="s">
        <v>121</v>
      </c>
      <c r="C47" s="300" t="s">
        <v>113</v>
      </c>
      <c r="D47" s="300">
        <v>0.15</v>
      </c>
      <c r="E47" s="1">
        <v>0.2</v>
      </c>
    </row>
    <row r="48" spans="1:7" x14ac:dyDescent="0.45">
      <c r="D48" s="123">
        <f>SUM(D41:D47)</f>
        <v>8.0399999999999991</v>
      </c>
      <c r="E48">
        <f>SUM(E41:E47)</f>
        <v>10.7</v>
      </c>
      <c r="F48" s="125">
        <f>E41+E43+E45+E46+E47</f>
        <v>6.85</v>
      </c>
      <c r="G48" s="125" t="s">
        <v>122</v>
      </c>
    </row>
    <row r="50" spans="2:9" x14ac:dyDescent="0.45">
      <c r="B50" t="s">
        <v>123</v>
      </c>
      <c r="D50" s="123" t="s">
        <v>110</v>
      </c>
      <c r="E50" s="123" t="s">
        <v>111</v>
      </c>
    </row>
    <row r="51" spans="2:9" x14ac:dyDescent="0.45">
      <c r="B51" s="1" t="s">
        <v>124</v>
      </c>
      <c r="C51" s="300" t="s">
        <v>125</v>
      </c>
      <c r="D51" s="300">
        <v>3.04</v>
      </c>
      <c r="E51" s="1">
        <v>3.65</v>
      </c>
      <c r="G51" s="310" t="s">
        <v>126</v>
      </c>
    </row>
    <row r="52" spans="2:9" x14ac:dyDescent="0.45">
      <c r="B52" s="1" t="s">
        <v>127</v>
      </c>
      <c r="C52" s="300" t="s">
        <v>113</v>
      </c>
      <c r="D52" s="300">
        <v>37.5</v>
      </c>
      <c r="E52" s="1">
        <v>40</v>
      </c>
      <c r="G52" s="307"/>
    </row>
    <row r="53" spans="2:9" ht="15" customHeight="1" x14ac:dyDescent="0.45">
      <c r="B53" t="s">
        <v>128</v>
      </c>
      <c r="C53" s="300" t="s">
        <v>113</v>
      </c>
      <c r="D53" s="123">
        <v>0</v>
      </c>
      <c r="E53" t="s">
        <v>129</v>
      </c>
      <c r="G53" s="307"/>
      <c r="H53" s="307"/>
      <c r="I53" s="307"/>
    </row>
    <row r="54" spans="2:9" x14ac:dyDescent="0.45">
      <c r="G54" s="307"/>
      <c r="H54" s="307"/>
      <c r="I54" s="307"/>
    </row>
    <row r="55" spans="2:9" x14ac:dyDescent="0.45">
      <c r="G55" s="307"/>
      <c r="H55" s="307"/>
      <c r="I55" s="307"/>
    </row>
    <row r="56" spans="2:9" x14ac:dyDescent="0.45">
      <c r="H56" s="307"/>
      <c r="I56" s="307"/>
    </row>
    <row r="57" spans="2:9" x14ac:dyDescent="0.45">
      <c r="B57" t="s">
        <v>130</v>
      </c>
      <c r="C57" s="123" t="s">
        <v>109</v>
      </c>
      <c r="D57" s="123" t="s">
        <v>110</v>
      </c>
      <c r="E57" s="123" t="s">
        <v>111</v>
      </c>
      <c r="H57" s="307"/>
      <c r="I57" s="307"/>
    </row>
    <row r="58" spans="2:9" x14ac:dyDescent="0.45">
      <c r="B58" s="126" t="s">
        <v>131</v>
      </c>
      <c r="C58" s="300" t="s">
        <v>113</v>
      </c>
      <c r="D58" s="300">
        <v>96</v>
      </c>
      <c r="E58" s="510" t="s">
        <v>132</v>
      </c>
    </row>
    <row r="59" spans="2:9" x14ac:dyDescent="0.45">
      <c r="B59" s="1" t="s">
        <v>133</v>
      </c>
      <c r="C59" s="300" t="s">
        <v>113</v>
      </c>
      <c r="D59" s="300">
        <v>66.739999999999995</v>
      </c>
      <c r="E59" s="511"/>
    </row>
    <row r="60" spans="2:9" x14ac:dyDescent="0.45">
      <c r="B60" s="1" t="s">
        <v>134</v>
      </c>
      <c r="C60" s="300" t="s">
        <v>113</v>
      </c>
      <c r="D60" s="300">
        <v>50</v>
      </c>
      <c r="E60" s="511"/>
    </row>
    <row r="61" spans="2:9" x14ac:dyDescent="0.45">
      <c r="B61" s="1" t="s">
        <v>135</v>
      </c>
      <c r="C61" s="300" t="s">
        <v>113</v>
      </c>
      <c r="D61" s="300">
        <v>30.54</v>
      </c>
      <c r="E61" s="511"/>
    </row>
    <row r="62" spans="2:9" x14ac:dyDescent="0.45">
      <c r="B62" s="1" t="s">
        <v>136</v>
      </c>
      <c r="C62" s="300" t="s">
        <v>113</v>
      </c>
      <c r="D62" s="300">
        <v>70</v>
      </c>
      <c r="E62" s="511"/>
    </row>
    <row r="63" spans="2:9" x14ac:dyDescent="0.45">
      <c r="B63" s="1" t="s">
        <v>137</v>
      </c>
      <c r="C63" s="300" t="s">
        <v>113</v>
      </c>
      <c r="D63" s="300">
        <v>5</v>
      </c>
      <c r="E63" s="512"/>
    </row>
    <row r="64" spans="2:9" x14ac:dyDescent="0.45">
      <c r="B64" s="1" t="s">
        <v>119</v>
      </c>
      <c r="C64" s="300" t="s">
        <v>120</v>
      </c>
      <c r="D64" s="300">
        <v>0.13</v>
      </c>
      <c r="E64" s="1">
        <v>0.2</v>
      </c>
    </row>
    <row r="65" spans="2:5" x14ac:dyDescent="0.45">
      <c r="B65" s="1" t="s">
        <v>121</v>
      </c>
      <c r="C65" s="300" t="s">
        <v>113</v>
      </c>
      <c r="D65" s="300">
        <v>0.15</v>
      </c>
      <c r="E65" s="1">
        <v>0.2</v>
      </c>
    </row>
  </sheetData>
  <mergeCells count="23">
    <mergeCell ref="A1:G1"/>
    <mergeCell ref="A2:B2"/>
    <mergeCell ref="A6:A7"/>
    <mergeCell ref="B6:B7"/>
    <mergeCell ref="A8:A9"/>
    <mergeCell ref="B8:B9"/>
    <mergeCell ref="B24:B25"/>
    <mergeCell ref="A10:A11"/>
    <mergeCell ref="B10:B11"/>
    <mergeCell ref="A12:A13"/>
    <mergeCell ref="B12:B13"/>
    <mergeCell ref="A14:A15"/>
    <mergeCell ref="B14:B15"/>
    <mergeCell ref="B16:B17"/>
    <mergeCell ref="A18:A19"/>
    <mergeCell ref="B18:B19"/>
    <mergeCell ref="B20:B21"/>
    <mergeCell ref="B22:B23"/>
    <mergeCell ref="B26:B27"/>
    <mergeCell ref="B28:B29"/>
    <mergeCell ref="A32:A33"/>
    <mergeCell ref="B32:B33"/>
    <mergeCell ref="E58:E63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I14"/>
  <sheetViews>
    <sheetView workbookViewId="0">
      <selection activeCell="C10" sqref="C10"/>
    </sheetView>
  </sheetViews>
  <sheetFormatPr baseColWidth="10" defaultColWidth="11.3984375" defaultRowHeight="14.25" x14ac:dyDescent="0.45"/>
  <cols>
    <col min="2" max="2" width="29.3984375" customWidth="1"/>
    <col min="3" max="3" width="17.1328125" customWidth="1"/>
    <col min="4" max="4" width="19" customWidth="1"/>
    <col min="5" max="5" width="15.1328125" customWidth="1"/>
    <col min="6" max="6" width="14.3984375" customWidth="1"/>
    <col min="7" max="7" width="15" customWidth="1"/>
  </cols>
  <sheetData>
    <row r="1" spans="2:9" x14ac:dyDescent="0.45">
      <c r="D1">
        <f>4.6%</f>
        <v>4.5999999999999999E-2</v>
      </c>
    </row>
    <row r="2" spans="2:9" ht="14.65" thickBot="1" x14ac:dyDescent="0.5">
      <c r="C2">
        <v>1</v>
      </c>
      <c r="D2">
        <v>2</v>
      </c>
      <c r="E2">
        <v>3</v>
      </c>
      <c r="F2">
        <v>4</v>
      </c>
      <c r="G2">
        <v>5</v>
      </c>
    </row>
    <row r="3" spans="2:9" ht="15.4" thickBot="1" x14ac:dyDescent="0.5">
      <c r="B3" s="211" t="s">
        <v>362</v>
      </c>
      <c r="C3" s="212" t="s">
        <v>413</v>
      </c>
      <c r="D3" s="212" t="s">
        <v>185</v>
      </c>
      <c r="E3" s="212" t="s">
        <v>414</v>
      </c>
      <c r="F3" s="212" t="s">
        <v>415</v>
      </c>
      <c r="G3" s="212" t="s">
        <v>188</v>
      </c>
    </row>
    <row r="4" spans="2:9" ht="15.75" thickBot="1" x14ac:dyDescent="0.5">
      <c r="B4" s="211" t="s">
        <v>416</v>
      </c>
      <c r="C4" s="210">
        <f>'Pre Tot Ing'!C8</f>
        <v>220550.93979999999</v>
      </c>
      <c r="D4" s="209">
        <f>'Pre Tot Ing'!D8</f>
        <v>230696.2830308</v>
      </c>
      <c r="E4" s="209">
        <f>'Pre Tot Ing'!E8</f>
        <v>241308.3120502168</v>
      </c>
      <c r="F4" s="209">
        <f>'Pre Tot Ing'!F8</f>
        <v>252408.49440452678</v>
      </c>
      <c r="G4" s="209">
        <f>'Pre Tot Ing'!G8</f>
        <v>264019.28514713503</v>
      </c>
      <c r="I4" s="207"/>
    </row>
    <row r="5" spans="2:9" ht="15.75" thickBot="1" x14ac:dyDescent="0.5">
      <c r="B5" s="213" t="s">
        <v>417</v>
      </c>
      <c r="C5" s="210">
        <f>Costos!C55</f>
        <v>147866.66500000001</v>
      </c>
      <c r="D5" s="209">
        <f>$C$5*(1+$D$1)^C2</f>
        <v>154668.53159000003</v>
      </c>
      <c r="E5" s="209">
        <f t="shared" ref="E5:G5" si="0">$C$5*(1+$D$1)^D2</f>
        <v>161783.28404314001</v>
      </c>
      <c r="F5" s="209">
        <f t="shared" si="0"/>
        <v>169225.31510912447</v>
      </c>
      <c r="G5" s="209">
        <f t="shared" si="0"/>
        <v>177009.67960414421</v>
      </c>
      <c r="I5">
        <f>1/4</f>
        <v>0.25</v>
      </c>
    </row>
    <row r="6" spans="2:9" ht="15.75" thickBot="1" x14ac:dyDescent="0.5">
      <c r="B6" s="213" t="s">
        <v>418</v>
      </c>
      <c r="C6" s="210">
        <f>C4-C5</f>
        <v>72684.274799999985</v>
      </c>
      <c r="D6" s="210">
        <f t="shared" ref="D6:G6" si="1">D4-D5</f>
        <v>76027.75144079997</v>
      </c>
      <c r="E6" s="210">
        <f t="shared" si="1"/>
        <v>79525.028007076791</v>
      </c>
      <c r="F6" s="210">
        <f t="shared" si="1"/>
        <v>83183.179295402311</v>
      </c>
      <c r="G6" s="210">
        <f t="shared" si="1"/>
        <v>87009.605542990816</v>
      </c>
      <c r="I6" s="120">
        <f>((G4/C4)^I5)-1</f>
        <v>4.6000000000000041E-2</v>
      </c>
    </row>
    <row r="7" spans="2:9" ht="15.75" thickBot="1" x14ac:dyDescent="0.5">
      <c r="B7" s="213" t="s">
        <v>419</v>
      </c>
      <c r="C7" s="210">
        <f>Costos!C30+Costos!C31</f>
        <v>28293.96</v>
      </c>
      <c r="D7" s="209">
        <f>$C$7*(1+$D$1)^C2</f>
        <v>29595.48216</v>
      </c>
      <c r="E7" s="209">
        <f t="shared" ref="E7:G7" si="2">$C$7*(1+$D$1)^D2</f>
        <v>30956.874339360002</v>
      </c>
      <c r="F7" s="209">
        <f t="shared" si="2"/>
        <v>32380.890558970565</v>
      </c>
      <c r="G7" s="209">
        <f t="shared" si="2"/>
        <v>33870.411524683208</v>
      </c>
      <c r="I7" s="120">
        <f>((G5/C5)^I8)-1</f>
        <v>3.6633758196503496E-2</v>
      </c>
    </row>
    <row r="8" spans="2:9" ht="15.75" thickBot="1" x14ac:dyDescent="0.5">
      <c r="B8" s="213" t="s">
        <v>420</v>
      </c>
      <c r="C8" s="210">
        <f>Costos!C33+Costos!C37</f>
        <v>7920</v>
      </c>
      <c r="D8" s="210">
        <f>$C$8*(1+$D$1)^C2</f>
        <v>8284.32</v>
      </c>
      <c r="E8" s="210">
        <f t="shared" ref="E8:G8" si="3">$C$8*(1+$D$1)^D2</f>
        <v>8665.398720000001</v>
      </c>
      <c r="F8" s="210">
        <f t="shared" si="3"/>
        <v>9064.0070611200008</v>
      </c>
      <c r="G8" s="210">
        <f t="shared" si="3"/>
        <v>9480.9513859315211</v>
      </c>
      <c r="I8">
        <f>1/5</f>
        <v>0.2</v>
      </c>
    </row>
    <row r="9" spans="2:9" ht="15.75" thickBot="1" x14ac:dyDescent="0.5">
      <c r="B9" s="213" t="s">
        <v>421</v>
      </c>
      <c r="C9" s="281">
        <f>Amor!I5</f>
        <v>3667.202416666667</v>
      </c>
      <c r="D9" s="281">
        <f>Amor!I6</f>
        <v>3095.654108053347</v>
      </c>
      <c r="E9" s="281">
        <f>Amor!I7</f>
        <v>2452.6622608633616</v>
      </c>
      <c r="F9" s="281">
        <f>Amor!I8</f>
        <v>1729.2964327746281</v>
      </c>
      <c r="G9" s="281">
        <f>Amor!I9</f>
        <v>915.50987617480325</v>
      </c>
    </row>
    <row r="10" spans="2:9" ht="15.75" thickBot="1" x14ac:dyDescent="0.5">
      <c r="B10" s="213" t="s">
        <v>422</v>
      </c>
      <c r="C10" s="210">
        <f>C6-C7-C8-C9</f>
        <v>32803.112383333319</v>
      </c>
      <c r="D10" s="210">
        <f t="shared" ref="D10:G10" si="4">D6-D7-D8-D9</f>
        <v>35052.295172746621</v>
      </c>
      <c r="E10" s="210">
        <f t="shared" si="4"/>
        <v>37450.09268685343</v>
      </c>
      <c r="F10" s="210">
        <f t="shared" si="4"/>
        <v>40008.985242537114</v>
      </c>
      <c r="G10" s="210">
        <f t="shared" si="4"/>
        <v>42742.732756201287</v>
      </c>
    </row>
    <row r="11" spans="2:9" ht="15.75" thickBot="1" x14ac:dyDescent="0.5">
      <c r="B11" s="213" t="s">
        <v>423</v>
      </c>
      <c r="C11" s="210">
        <f>C10*15%</f>
        <v>4920.4668574999978</v>
      </c>
      <c r="D11" s="210">
        <f t="shared" ref="D11:G11" si="5">D10*15%</f>
        <v>5257.8442759119926</v>
      </c>
      <c r="E11" s="210">
        <f t="shared" si="5"/>
        <v>5617.5139030280143</v>
      </c>
      <c r="F11" s="210">
        <f t="shared" si="5"/>
        <v>6001.3477863805665</v>
      </c>
      <c r="G11" s="210">
        <f t="shared" si="5"/>
        <v>6411.4099134301932</v>
      </c>
      <c r="I11" s="479">
        <f>6.25*12%</f>
        <v>0.75</v>
      </c>
    </row>
    <row r="12" spans="2:9" ht="15.75" thickBot="1" x14ac:dyDescent="0.5">
      <c r="B12" s="213" t="s">
        <v>424</v>
      </c>
      <c r="C12" s="210">
        <f>C10-C11</f>
        <v>27882.645525833323</v>
      </c>
      <c r="D12" s="210">
        <f t="shared" ref="D12:G12" si="6">D10-D11</f>
        <v>29794.450896834627</v>
      </c>
      <c r="E12" s="210">
        <f t="shared" si="6"/>
        <v>31832.578783825415</v>
      </c>
      <c r="F12" s="210">
        <f t="shared" si="6"/>
        <v>34007.637456156546</v>
      </c>
      <c r="G12" s="210">
        <f t="shared" si="6"/>
        <v>36331.322842771093</v>
      </c>
      <c r="I12" s="479">
        <f>6.25*0.1</f>
        <v>0.625</v>
      </c>
    </row>
    <row r="13" spans="2:9" ht="15.75" thickBot="1" x14ac:dyDescent="0.5">
      <c r="B13" s="213" t="s">
        <v>425</v>
      </c>
      <c r="C13" s="210">
        <f>C12*22%</f>
        <v>6134.182015683331</v>
      </c>
      <c r="D13" s="210">
        <f t="shared" ref="D13:G13" si="7">D12*22%</f>
        <v>6554.7791973036183</v>
      </c>
      <c r="E13" s="210">
        <f t="shared" si="7"/>
        <v>7003.1673324415915</v>
      </c>
      <c r="F13" s="210">
        <f t="shared" si="7"/>
        <v>7481.6802403544398</v>
      </c>
      <c r="G13" s="210">
        <f t="shared" si="7"/>
        <v>7992.8910254096409</v>
      </c>
    </row>
    <row r="14" spans="2:9" ht="15.75" thickBot="1" x14ac:dyDescent="0.5">
      <c r="B14" s="213" t="s">
        <v>426</v>
      </c>
      <c r="C14" s="210">
        <f>C12-C13</f>
        <v>21748.463510149992</v>
      </c>
      <c r="D14" s="210">
        <f t="shared" ref="D14:G14" si="8">D12-D13</f>
        <v>23239.671699531009</v>
      </c>
      <c r="E14" s="210">
        <f t="shared" si="8"/>
        <v>24829.411451383821</v>
      </c>
      <c r="F14" s="210">
        <f t="shared" si="8"/>
        <v>26525.957215802107</v>
      </c>
      <c r="G14" s="210">
        <f t="shared" si="8"/>
        <v>28338.431817361452</v>
      </c>
    </row>
  </sheetData>
  <pageMargins left="0.7" right="0.7" top="0.75" bottom="0.75" header="0.3" footer="0.3"/>
  <ignoredErrors>
    <ignoredError sqref="C13:G13" formula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M22"/>
  <sheetViews>
    <sheetView topLeftCell="D1" workbookViewId="0">
      <selection activeCell="K15" sqref="K15"/>
    </sheetView>
  </sheetViews>
  <sheetFormatPr baseColWidth="10" defaultColWidth="11.3984375" defaultRowHeight="14.25" x14ac:dyDescent="0.45"/>
  <cols>
    <col min="2" max="2" width="35.59765625" customWidth="1"/>
    <col min="3" max="3" width="13.3984375" customWidth="1"/>
    <col min="4" max="4" width="47.73046875" customWidth="1"/>
    <col min="6" max="6" width="21.73046875" customWidth="1"/>
    <col min="7" max="7" width="12.86328125" customWidth="1"/>
    <col min="8" max="8" width="14.59765625" customWidth="1"/>
    <col min="10" max="10" width="21.1328125" customWidth="1"/>
    <col min="11" max="11" width="17.33203125" customWidth="1"/>
  </cols>
  <sheetData>
    <row r="2" spans="2:13" ht="14.65" thickBot="1" x14ac:dyDescent="0.5"/>
    <row r="3" spans="2:13" x14ac:dyDescent="0.45">
      <c r="B3" t="s">
        <v>427</v>
      </c>
      <c r="J3" s="428" t="s">
        <v>428</v>
      </c>
      <c r="K3" s="429" t="s">
        <v>321</v>
      </c>
    </row>
    <row r="4" spans="2:13" x14ac:dyDescent="0.45">
      <c r="B4" s="119" t="s">
        <v>429</v>
      </c>
      <c r="C4" s="386" t="s">
        <v>321</v>
      </c>
      <c r="D4" s="119" t="s">
        <v>430</v>
      </c>
      <c r="F4" s="119" t="s">
        <v>431</v>
      </c>
      <c r="G4" s="386">
        <v>0</v>
      </c>
      <c r="H4" s="386">
        <v>1</v>
      </c>
      <c r="J4" s="93" t="s">
        <v>432</v>
      </c>
      <c r="K4" s="430">
        <f>Amor!G3</f>
        <v>0.125</v>
      </c>
    </row>
    <row r="5" spans="2:13" x14ac:dyDescent="0.45">
      <c r="B5" s="1" t="s">
        <v>433</v>
      </c>
      <c r="C5" s="423">
        <v>1.55E-2</v>
      </c>
      <c r="D5" s="1" t="s">
        <v>434</v>
      </c>
      <c r="F5" s="1" t="s">
        <v>435</v>
      </c>
      <c r="G5" s="276">
        <f>Amor!C5</f>
        <v>29337.619333333336</v>
      </c>
      <c r="H5" s="276">
        <f>G5*(1+Amor!G3)</f>
        <v>33004.821750000003</v>
      </c>
      <c r="J5" s="93" t="s">
        <v>436</v>
      </c>
      <c r="K5" s="431">
        <f>Amor!C5</f>
        <v>29337.619333333336</v>
      </c>
    </row>
    <row r="6" spans="2:13" x14ac:dyDescent="0.45">
      <c r="B6" s="1" t="s">
        <v>437</v>
      </c>
      <c r="C6" s="423">
        <v>6.7199999999999996E-2</v>
      </c>
      <c r="D6" s="1" t="s">
        <v>438</v>
      </c>
      <c r="F6" s="1" t="s">
        <v>439</v>
      </c>
      <c r="G6" s="276">
        <f>Amor!C6</f>
        <v>44006.429000000004</v>
      </c>
      <c r="H6" s="284">
        <f>G6*(1+K8)</f>
        <v>50520.986726658499</v>
      </c>
      <c r="J6" s="93" t="s">
        <v>440</v>
      </c>
      <c r="K6" s="431">
        <f>G7</f>
        <v>73344.04833333334</v>
      </c>
    </row>
    <row r="7" spans="2:13" x14ac:dyDescent="0.45">
      <c r="B7" s="1" t="s">
        <v>441</v>
      </c>
      <c r="C7" s="7">
        <v>0.877</v>
      </c>
      <c r="D7" s="1" t="s">
        <v>442</v>
      </c>
      <c r="F7" s="1" t="s">
        <v>180</v>
      </c>
      <c r="G7" s="276">
        <f>SUM(G5:G6)</f>
        <v>73344.04833333334</v>
      </c>
      <c r="H7" s="276">
        <f>SUM(H5:H6)</f>
        <v>83525.808476658509</v>
      </c>
      <c r="J7" s="93" t="s">
        <v>443</v>
      </c>
      <c r="K7" s="450">
        <f>K22</f>
        <v>0.33700000000000002</v>
      </c>
    </row>
    <row r="8" spans="2:13" x14ac:dyDescent="0.45">
      <c r="B8" s="1" t="s">
        <v>444</v>
      </c>
      <c r="C8" s="423">
        <v>0.09</v>
      </c>
      <c r="D8" s="1"/>
      <c r="F8" s="1" t="s">
        <v>445</v>
      </c>
      <c r="G8" s="1"/>
      <c r="H8" s="385">
        <f>(H7/G7)-1</f>
        <v>0.13882189999999994</v>
      </c>
      <c r="J8" s="93" t="s">
        <v>446</v>
      </c>
      <c r="K8" s="432">
        <f>'CAPM; WACC'!C9</f>
        <v>0.14803649999999999</v>
      </c>
    </row>
    <row r="9" spans="2:13" x14ac:dyDescent="0.45">
      <c r="B9" s="1" t="s">
        <v>447</v>
      </c>
      <c r="C9" s="424">
        <f>C5+C7*(C8-C5)+C6</f>
        <v>0.14803649999999999</v>
      </c>
      <c r="D9" s="1"/>
      <c r="F9" s="1" t="s">
        <v>448</v>
      </c>
      <c r="G9" s="1"/>
      <c r="H9" s="299">
        <f>K4*(K5/K6)*(1-K7)+K8*(K9/K6)</f>
        <v>0.12197189999999999</v>
      </c>
      <c r="J9" s="93" t="s">
        <v>449</v>
      </c>
      <c r="K9" s="431">
        <f>G6</f>
        <v>44006.429000000004</v>
      </c>
    </row>
    <row r="10" spans="2:13" ht="14.65" thickBot="1" x14ac:dyDescent="0.5">
      <c r="J10" s="433" t="s">
        <v>450</v>
      </c>
      <c r="K10" s="434">
        <f>H9</f>
        <v>0.12197189999999999</v>
      </c>
    </row>
    <row r="13" spans="2:13" x14ac:dyDescent="0.45">
      <c r="F13" s="206" t="s">
        <v>584</v>
      </c>
    </row>
    <row r="14" spans="2:13" x14ac:dyDescent="0.45">
      <c r="F14" s="107" t="s">
        <v>585</v>
      </c>
    </row>
    <row r="15" spans="2:13" x14ac:dyDescent="0.45">
      <c r="F15" t="s">
        <v>586</v>
      </c>
      <c r="J15" t="s">
        <v>451</v>
      </c>
      <c r="K15">
        <v>100</v>
      </c>
    </row>
    <row r="16" spans="2:13" x14ac:dyDescent="0.45">
      <c r="E16" s="109"/>
      <c r="F16" t="s">
        <v>492</v>
      </c>
      <c r="G16" t="s">
        <v>590</v>
      </c>
      <c r="J16" t="s">
        <v>452</v>
      </c>
      <c r="K16" s="24">
        <f>+K15*L16</f>
        <v>22</v>
      </c>
      <c r="L16">
        <v>0.22</v>
      </c>
      <c r="M16">
        <f>K15*L16</f>
        <v>22</v>
      </c>
    </row>
    <row r="17" spans="5:13" x14ac:dyDescent="0.45">
      <c r="E17" t="s">
        <v>591</v>
      </c>
      <c r="F17" t="s">
        <v>587</v>
      </c>
      <c r="G17" s="107">
        <v>0.1925</v>
      </c>
      <c r="J17" t="s">
        <v>453</v>
      </c>
      <c r="K17">
        <f>+K15-K16</f>
        <v>78</v>
      </c>
      <c r="M17">
        <f>K17*L18</f>
        <v>11.7</v>
      </c>
    </row>
    <row r="18" spans="5:13" x14ac:dyDescent="0.45">
      <c r="F18" t="s">
        <v>588</v>
      </c>
      <c r="H18" t="s">
        <v>589</v>
      </c>
      <c r="J18" t="s">
        <v>454</v>
      </c>
      <c r="K18">
        <f>+K17*L18</f>
        <v>11.7</v>
      </c>
      <c r="L18">
        <v>0.15</v>
      </c>
    </row>
    <row r="19" spans="5:13" x14ac:dyDescent="0.45">
      <c r="J19" t="s">
        <v>453</v>
      </c>
      <c r="K19">
        <f>+K17-K18</f>
        <v>66.3</v>
      </c>
    </row>
    <row r="20" spans="5:13" x14ac:dyDescent="0.45">
      <c r="F20" t="s">
        <v>592</v>
      </c>
      <c r="G20" t="s">
        <v>593</v>
      </c>
      <c r="H20" t="s">
        <v>590</v>
      </c>
    </row>
    <row r="21" spans="5:13" x14ac:dyDescent="0.45">
      <c r="G21" t="s">
        <v>492</v>
      </c>
      <c r="H21" t="s">
        <v>594</v>
      </c>
      <c r="J21" t="s">
        <v>455</v>
      </c>
      <c r="K21">
        <f>+K16+K18</f>
        <v>33.700000000000003</v>
      </c>
    </row>
    <row r="22" spans="5:13" x14ac:dyDescent="0.45">
      <c r="J22" s="124" t="s">
        <v>456</v>
      </c>
      <c r="K22" s="449">
        <f>+K21/K15</f>
        <v>0.33700000000000002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5"/>
  </sheetPr>
  <dimension ref="B2:O25"/>
  <sheetViews>
    <sheetView workbookViewId="0">
      <selection activeCell="D11" sqref="D11"/>
    </sheetView>
  </sheetViews>
  <sheetFormatPr baseColWidth="10" defaultColWidth="11.3984375" defaultRowHeight="14.25" x14ac:dyDescent="0.45"/>
  <cols>
    <col min="2" max="2" width="35.1328125" customWidth="1"/>
    <col min="3" max="3" width="14" customWidth="1"/>
    <col min="4" max="4" width="13.73046875" bestFit="1" customWidth="1"/>
    <col min="5" max="5" width="13.3984375" customWidth="1"/>
    <col min="6" max="6" width="14.73046875" customWidth="1"/>
    <col min="7" max="7" width="13.3984375" customWidth="1"/>
    <col min="8" max="8" width="14.86328125" customWidth="1"/>
    <col min="12" max="12" width="14" customWidth="1"/>
    <col min="13" max="13" width="24.265625" customWidth="1"/>
    <col min="14" max="14" width="14.59765625" customWidth="1"/>
    <col min="15" max="15" width="13.73046875" customWidth="1"/>
  </cols>
  <sheetData>
    <row r="2" spans="2:15" ht="14.65" thickBot="1" x14ac:dyDescent="0.5">
      <c r="B2" s="363"/>
      <c r="C2" s="363"/>
      <c r="D2" s="363" t="s">
        <v>450</v>
      </c>
      <c r="E2" s="461">
        <f>'CAPM; WACC'!H8</f>
        <v>0.13882189999999994</v>
      </c>
      <c r="F2" s="363"/>
      <c r="G2" s="363"/>
      <c r="H2" s="363"/>
    </row>
    <row r="3" spans="2:15" ht="15.4" thickBot="1" x14ac:dyDescent="0.5">
      <c r="B3" s="38" t="s">
        <v>362</v>
      </c>
      <c r="C3" s="38" t="s">
        <v>457</v>
      </c>
      <c r="D3" s="38" t="s">
        <v>371</v>
      </c>
      <c r="E3" s="38" t="s">
        <v>185</v>
      </c>
      <c r="F3" s="38" t="s">
        <v>186</v>
      </c>
      <c r="G3" s="38" t="s">
        <v>187</v>
      </c>
      <c r="H3" s="38" t="s">
        <v>188</v>
      </c>
      <c r="K3" s="551" t="s">
        <v>458</v>
      </c>
      <c r="L3" s="551" t="s">
        <v>459</v>
      </c>
      <c r="M3" s="212" t="s">
        <v>460</v>
      </c>
      <c r="N3" s="553" t="s">
        <v>461</v>
      </c>
      <c r="O3" s="553" t="s">
        <v>462</v>
      </c>
    </row>
    <row r="4" spans="2:15" ht="15.4" thickBot="1" x14ac:dyDescent="0.5">
      <c r="B4" s="38" t="s">
        <v>377</v>
      </c>
      <c r="C4" s="38"/>
      <c r="D4" s="38"/>
      <c r="E4" s="38"/>
      <c r="F4" s="38"/>
      <c r="G4" s="38"/>
      <c r="H4" s="38"/>
      <c r="K4" s="552"/>
      <c r="L4" s="552"/>
      <c r="M4" s="214" t="s">
        <v>463</v>
      </c>
      <c r="N4" s="554"/>
      <c r="O4" s="554"/>
    </row>
    <row r="5" spans="2:15" ht="15.75" thickBot="1" x14ac:dyDescent="0.5">
      <c r="B5" s="38" t="s">
        <v>337</v>
      </c>
      <c r="C5" s="38"/>
      <c r="D5" s="72">
        <f>'Pre Tot Ing'!C5</f>
        <v>188728.97199999998</v>
      </c>
      <c r="E5" s="72">
        <f>'Pre Tot Ing'!D5</f>
        <v>197410.50471199999</v>
      </c>
      <c r="F5" s="72">
        <f>'Pre Tot Ing'!E5</f>
        <v>206491.387928752</v>
      </c>
      <c r="G5" s="72">
        <f>'Pre Tot Ing'!F5</f>
        <v>215989.99177347458</v>
      </c>
      <c r="H5" s="72">
        <f>'Pre Tot Ing'!G5</f>
        <v>225925.53139505442</v>
      </c>
      <c r="K5" s="269">
        <v>0</v>
      </c>
      <c r="L5" s="210">
        <f>C25</f>
        <v>-73344.04833333334</v>
      </c>
      <c r="M5" s="215">
        <f>1/(1+$E$2)^K5</f>
        <v>1</v>
      </c>
      <c r="N5" s="216">
        <f>L5*M5</f>
        <v>-73344.04833333334</v>
      </c>
      <c r="O5" s="216">
        <f>N5</f>
        <v>-73344.04833333334</v>
      </c>
    </row>
    <row r="6" spans="2:15" ht="15.75" thickBot="1" x14ac:dyDescent="0.5">
      <c r="B6" s="38" t="s">
        <v>464</v>
      </c>
      <c r="C6" s="38"/>
      <c r="D6" s="72">
        <f>'Pre Tot Ing'!C6</f>
        <v>11679.973199999999</v>
      </c>
      <c r="E6" s="72">
        <f>'Pre Tot Ing'!D6</f>
        <v>12217.2519672</v>
      </c>
      <c r="F6" s="72">
        <f>'Pre Tot Ing'!E6</f>
        <v>12779.2455576912</v>
      </c>
      <c r="G6" s="72">
        <f>'Pre Tot Ing'!F6</f>
        <v>13367.090853344995</v>
      </c>
      <c r="H6" s="72">
        <f>'Pre Tot Ing'!G6</f>
        <v>13981.977032598865</v>
      </c>
      <c r="K6" s="269">
        <v>1</v>
      </c>
      <c r="L6" s="210">
        <f>D25</f>
        <v>25415.665926816677</v>
      </c>
      <c r="M6" s="215">
        <f t="shared" ref="M6:M10" si="0">1/(1+$E$2)^K6</f>
        <v>0.87810042992675152</v>
      </c>
      <c r="N6" s="216">
        <f t="shared" ref="N6:N10" si="1">L6*M6</f>
        <v>22317.507177212414</v>
      </c>
      <c r="O6" s="216">
        <f>O5+N6</f>
        <v>-51026.541156120926</v>
      </c>
    </row>
    <row r="7" spans="2:15" ht="15.75" thickBot="1" x14ac:dyDescent="0.5">
      <c r="B7" s="38" t="s">
        <v>465</v>
      </c>
      <c r="C7" s="38"/>
      <c r="D7" s="72">
        <f>'Pre Tot Ing'!C7</f>
        <v>20141.994599999998</v>
      </c>
      <c r="E7" s="72">
        <f>'Pre Tot Ing'!D7</f>
        <v>21068.526351599998</v>
      </c>
      <c r="F7" s="72">
        <f>'Pre Tot Ing'!E7</f>
        <v>22037.678563773599</v>
      </c>
      <c r="G7" s="72">
        <f>'Pre Tot Ing'!F7</f>
        <v>23051.411777707184</v>
      </c>
      <c r="H7" s="72">
        <f>'Pre Tot Ing'!G7</f>
        <v>24111.776719481717</v>
      </c>
      <c r="K7" s="269">
        <v>2</v>
      </c>
      <c r="L7" s="210">
        <f>E25</f>
        <v>26335.325807584348</v>
      </c>
      <c r="M7" s="215">
        <f t="shared" si="0"/>
        <v>0.77106036503754583</v>
      </c>
      <c r="N7" s="216">
        <f t="shared" si="1"/>
        <v>20306.125930578688</v>
      </c>
      <c r="O7" s="216">
        <f>O6+N7</f>
        <v>-30720.415225542238</v>
      </c>
    </row>
    <row r="8" spans="2:15" ht="15.75" thickBot="1" x14ac:dyDescent="0.5">
      <c r="B8" s="38" t="s">
        <v>466</v>
      </c>
      <c r="C8" s="38"/>
      <c r="D8" s="72">
        <f>SUM(D5:D7)</f>
        <v>220550.93979999999</v>
      </c>
      <c r="E8" s="72">
        <f t="shared" ref="E8:H8" si="2">SUM(E5:E7)</f>
        <v>230696.2830308</v>
      </c>
      <c r="F8" s="72">
        <f t="shared" si="2"/>
        <v>241308.3120502168</v>
      </c>
      <c r="G8" s="72">
        <f t="shared" si="2"/>
        <v>252408.49440452678</v>
      </c>
      <c r="H8" s="72">
        <f t="shared" si="2"/>
        <v>264019.28514713503</v>
      </c>
      <c r="K8" s="269">
        <v>3</v>
      </c>
      <c r="L8" s="210">
        <f>F25</f>
        <v>27282.073712247213</v>
      </c>
      <c r="M8" s="215">
        <f t="shared" si="0"/>
        <v>0.67706843803894701</v>
      </c>
      <c r="N8" s="216">
        <f t="shared" si="1"/>
        <v>18471.831034814637</v>
      </c>
      <c r="O8" s="216">
        <f>O7+N8</f>
        <v>-12248.584190727601</v>
      </c>
    </row>
    <row r="9" spans="2:15" ht="15.75" thickBot="1" x14ac:dyDescent="0.5">
      <c r="B9" s="38"/>
      <c r="C9" s="38"/>
      <c r="D9" s="38"/>
      <c r="E9" s="38"/>
      <c r="F9" s="38"/>
      <c r="G9" s="38"/>
      <c r="H9" s="38"/>
      <c r="K9" s="269">
        <v>4</v>
      </c>
      <c r="L9" s="210">
        <f>G25</f>
        <v>28255.25364857672</v>
      </c>
      <c r="M9" s="215">
        <f t="shared" si="0"/>
        <v>0.59453408653183348</v>
      </c>
      <c r="N9" s="216">
        <f t="shared" si="1"/>
        <v>16798.711417681814</v>
      </c>
      <c r="O9" s="216">
        <f>O8+N9</f>
        <v>4550.1272269542133</v>
      </c>
    </row>
    <row r="10" spans="2:15" ht="15.75" thickBot="1" x14ac:dyDescent="0.5">
      <c r="B10" s="38" t="s">
        <v>467</v>
      </c>
      <c r="C10" s="38"/>
      <c r="D10" s="38"/>
      <c r="E10" s="38"/>
      <c r="F10" s="38"/>
      <c r="G10" s="38"/>
      <c r="H10" s="38"/>
      <c r="K10" s="269">
        <v>5</v>
      </c>
      <c r="L10" s="210">
        <f>H25</f>
        <v>56955.200026869585</v>
      </c>
      <c r="M10" s="215">
        <f t="shared" si="0"/>
        <v>0.52206063698971139</v>
      </c>
      <c r="N10" s="216">
        <f t="shared" si="1"/>
        <v>29734.068005903962</v>
      </c>
      <c r="O10" s="216">
        <f>O9+N10</f>
        <v>34284.195232858176</v>
      </c>
    </row>
    <row r="11" spans="2:15" x14ac:dyDescent="0.45">
      <c r="B11" s="38" t="s">
        <v>468</v>
      </c>
      <c r="C11" s="38"/>
      <c r="D11" s="467">
        <f>'PER YG'!C5*-1</f>
        <v>-147866.66500000001</v>
      </c>
      <c r="E11" s="467">
        <f>'PER YG'!D5*-1</f>
        <v>-154668.53159000003</v>
      </c>
      <c r="F11" s="467">
        <f>'PER YG'!E5*-1</f>
        <v>-161783.28404314001</v>
      </c>
      <c r="G11" s="467">
        <f>'PER YG'!F5*-1</f>
        <v>-169225.31510912447</v>
      </c>
      <c r="H11" s="467">
        <f>'PER YG'!G5*-1</f>
        <v>-177009.67960414421</v>
      </c>
      <c r="N11" s="172">
        <f>NPV(E2,L6:L10)+L5</f>
        <v>34284.195232858197</v>
      </c>
    </row>
    <row r="12" spans="2:15" x14ac:dyDescent="0.45">
      <c r="B12" s="38" t="s">
        <v>469</v>
      </c>
      <c r="C12" s="38"/>
      <c r="D12" s="467">
        <f>'PER YG'!C7*-1</f>
        <v>-28293.96</v>
      </c>
      <c r="E12" s="467">
        <f>'PER YG'!D7*-1</f>
        <v>-29595.48216</v>
      </c>
      <c r="F12" s="467">
        <f>'PER YG'!E7*-1</f>
        <v>-30956.874339360002</v>
      </c>
      <c r="G12" s="467">
        <f>'PER YG'!F7*-1</f>
        <v>-32380.890558970565</v>
      </c>
      <c r="H12" s="467">
        <f>'PER YG'!G7*-1</f>
        <v>-33870.411524683208</v>
      </c>
      <c r="M12" t="s">
        <v>470</v>
      </c>
      <c r="N12" s="107">
        <f>IRR(L5:L10)</f>
        <v>0.29645798521208988</v>
      </c>
    </row>
    <row r="13" spans="2:15" x14ac:dyDescent="0.45">
      <c r="B13" s="38" t="s">
        <v>471</v>
      </c>
      <c r="C13" s="38"/>
      <c r="D13" s="467">
        <f>'PER YG'!C8*-1</f>
        <v>-7920</v>
      </c>
      <c r="E13" s="467">
        <f>'PER YG'!D8*-1</f>
        <v>-8284.32</v>
      </c>
      <c r="F13" s="467">
        <f>'PER YG'!E8*-1</f>
        <v>-8665.398720000001</v>
      </c>
      <c r="G13" s="467">
        <f>'PER YG'!F8*-1</f>
        <v>-9064.0070611200008</v>
      </c>
      <c r="H13" s="467">
        <f>'PER YG'!G8*-1</f>
        <v>-9480.9513859315211</v>
      </c>
    </row>
    <row r="14" spans="2:15" x14ac:dyDescent="0.45">
      <c r="B14" s="38" t="s">
        <v>388</v>
      </c>
      <c r="C14" s="38"/>
      <c r="D14" s="279">
        <f>Depre!F11*-1</f>
        <v>-5293.0990000000002</v>
      </c>
      <c r="E14" s="279">
        <f>Depre!G11*-1</f>
        <v>-5293.0990000000002</v>
      </c>
      <c r="F14" s="279">
        <f>Depre!H11*-1</f>
        <v>-5293.0990000000002</v>
      </c>
      <c r="G14" s="279">
        <f>Depre!I11*-1</f>
        <v>-4120.2790000000005</v>
      </c>
      <c r="H14" s="279">
        <f>Depre!J11*-1</f>
        <v>-4120.2790000000005</v>
      </c>
    </row>
    <row r="15" spans="2:15" ht="14.65" thickBot="1" x14ac:dyDescent="0.5">
      <c r="B15" s="462" t="s">
        <v>472</v>
      </c>
      <c r="C15" s="462"/>
      <c r="D15" s="469">
        <f>SUM(D11:D14)</f>
        <v>-189373.72399999999</v>
      </c>
      <c r="E15" s="469">
        <f t="shared" ref="E15:H15" si="3">SUM(E11:E14)</f>
        <v>-197841.43275000004</v>
      </c>
      <c r="F15" s="469">
        <f t="shared" si="3"/>
        <v>-206698.65610249998</v>
      </c>
      <c r="G15" s="469">
        <f t="shared" si="3"/>
        <v>-214790.49172921505</v>
      </c>
      <c r="H15" s="469">
        <f t="shared" si="3"/>
        <v>-224481.32151475895</v>
      </c>
    </row>
    <row r="16" spans="2:15" ht="14.65" thickBot="1" x14ac:dyDescent="0.5">
      <c r="B16" s="472" t="s">
        <v>473</v>
      </c>
      <c r="C16" s="473"/>
      <c r="D16" s="474">
        <f>D8+D15</f>
        <v>31177.215800000005</v>
      </c>
      <c r="E16" s="474">
        <f t="shared" ref="E16:H16" si="4">E8+E15</f>
        <v>32854.850280799961</v>
      </c>
      <c r="F16" s="474">
        <f t="shared" si="4"/>
        <v>34609.655947716819</v>
      </c>
      <c r="G16" s="474">
        <f t="shared" si="4"/>
        <v>37618.002675311727</v>
      </c>
      <c r="H16" s="475">
        <f t="shared" si="4"/>
        <v>39537.963632376079</v>
      </c>
    </row>
    <row r="17" spans="2:8" x14ac:dyDescent="0.45">
      <c r="B17" s="464" t="s">
        <v>474</v>
      </c>
      <c r="C17" s="464"/>
      <c r="D17" s="471">
        <f>'PER YG'!C11*-1</f>
        <v>-4920.4668574999978</v>
      </c>
      <c r="E17" s="471">
        <f>'PER YG'!D11*-1</f>
        <v>-5257.8442759119926</v>
      </c>
      <c r="F17" s="471">
        <f>'PER YG'!E11*-1</f>
        <v>-5617.5139030280143</v>
      </c>
      <c r="G17" s="471">
        <f>'PER YG'!F11*-1</f>
        <v>-6001.3477863805665</v>
      </c>
      <c r="H17" s="471">
        <f>'PER YG'!G11*-1</f>
        <v>-6411.4099134301932</v>
      </c>
    </row>
    <row r="18" spans="2:8" x14ac:dyDescent="0.45">
      <c r="B18" s="38" t="s">
        <v>475</v>
      </c>
      <c r="C18" s="38"/>
      <c r="D18" s="467">
        <f>'PER YG'!C13*-1</f>
        <v>-6134.182015683331</v>
      </c>
      <c r="E18" s="467">
        <f>'PER YG'!D13*-1</f>
        <v>-6554.7791973036183</v>
      </c>
      <c r="F18" s="467">
        <f>('PER YG'!E13)*-1</f>
        <v>-7003.1673324415915</v>
      </c>
      <c r="G18" s="467">
        <f>'PER YG'!F13*-1</f>
        <v>-7481.6802403544398</v>
      </c>
      <c r="H18" s="467">
        <f>'PER YG'!G13*-1</f>
        <v>-7992.8910254096409</v>
      </c>
    </row>
    <row r="19" spans="2:8" ht="14.65" thickBot="1" x14ac:dyDescent="0.5">
      <c r="B19" s="462" t="s">
        <v>476</v>
      </c>
      <c r="C19" s="462"/>
      <c r="D19" s="469">
        <f>SUM(D17:D18)</f>
        <v>-11054.648873183329</v>
      </c>
      <c r="E19" s="469">
        <f t="shared" ref="E19:H19" si="5">SUM(E17:E18)</f>
        <v>-11812.623473215612</v>
      </c>
      <c r="F19" s="469">
        <f t="shared" si="5"/>
        <v>-12620.681235469605</v>
      </c>
      <c r="G19" s="469">
        <f t="shared" si="5"/>
        <v>-13483.028026735006</v>
      </c>
      <c r="H19" s="469">
        <f t="shared" si="5"/>
        <v>-14404.300938839835</v>
      </c>
    </row>
    <row r="20" spans="2:8" ht="14.65" thickBot="1" x14ac:dyDescent="0.5">
      <c r="B20" s="163" t="s">
        <v>477</v>
      </c>
      <c r="C20" s="245"/>
      <c r="D20" s="272">
        <f>D16+D19</f>
        <v>20122.566926816675</v>
      </c>
      <c r="E20" s="272">
        <f>E16+E19</f>
        <v>21042.226807584349</v>
      </c>
      <c r="F20" s="272">
        <f>F16+F19</f>
        <v>21988.974712247214</v>
      </c>
      <c r="G20" s="272">
        <f>G16+G19</f>
        <v>24134.974648576721</v>
      </c>
      <c r="H20" s="470">
        <f>H16+H19</f>
        <v>25133.662693536244</v>
      </c>
    </row>
    <row r="21" spans="2:8" x14ac:dyDescent="0.45">
      <c r="B21" s="464" t="s">
        <v>478</v>
      </c>
      <c r="C21" s="464"/>
      <c r="D21" s="465">
        <f>Depre!F11</f>
        <v>5293.0990000000002</v>
      </c>
      <c r="E21" s="465">
        <f>Depre!G11</f>
        <v>5293.0990000000002</v>
      </c>
      <c r="F21" s="465">
        <f>Depre!H11</f>
        <v>5293.0990000000002</v>
      </c>
      <c r="G21" s="465">
        <f>Depre!I11</f>
        <v>4120.2790000000005</v>
      </c>
      <c r="H21" s="465">
        <f>Depre!J11</f>
        <v>4120.2790000000005</v>
      </c>
    </row>
    <row r="22" spans="2:8" x14ac:dyDescent="0.45">
      <c r="B22" s="38"/>
      <c r="C22" s="38"/>
      <c r="D22" s="38"/>
      <c r="E22" s="38"/>
      <c r="F22" s="38"/>
      <c r="G22" s="38"/>
      <c r="H22" s="38"/>
    </row>
    <row r="23" spans="2:8" x14ac:dyDescent="0.45">
      <c r="B23" s="38" t="s">
        <v>479</v>
      </c>
      <c r="C23" s="467">
        <f>INV!G15*-1</f>
        <v>-45642.79</v>
      </c>
      <c r="D23" s="38"/>
      <c r="E23" s="38"/>
      <c r="F23" s="38"/>
      <c r="G23" s="38"/>
      <c r="H23" s="38"/>
    </row>
    <row r="24" spans="2:8" ht="14.65" thickBot="1" x14ac:dyDescent="0.5">
      <c r="B24" s="462" t="s">
        <v>480</v>
      </c>
      <c r="C24" s="469">
        <f>INV!G6*-1</f>
        <v>-27701.258333333335</v>
      </c>
      <c r="D24" s="462"/>
      <c r="E24" s="462"/>
      <c r="F24" s="462"/>
      <c r="G24" s="462"/>
      <c r="H24" s="463">
        <f>INV!G6</f>
        <v>27701.258333333335</v>
      </c>
    </row>
    <row r="25" spans="2:8" ht="14.65" thickBot="1" x14ac:dyDescent="0.5">
      <c r="B25" s="177" t="s">
        <v>481</v>
      </c>
      <c r="C25" s="478">
        <f>C23+C24</f>
        <v>-73344.04833333334</v>
      </c>
      <c r="D25" s="476">
        <f>D20+D21</f>
        <v>25415.665926816677</v>
      </c>
      <c r="E25" s="476">
        <f>E20+E21</f>
        <v>26335.325807584348</v>
      </c>
      <c r="F25" s="476">
        <f>F20+F21</f>
        <v>27282.073712247213</v>
      </c>
      <c r="G25" s="476">
        <f>G20+G21</f>
        <v>28255.25364857672</v>
      </c>
      <c r="H25" s="477">
        <f>H20+H21+H24</f>
        <v>56955.200026869585</v>
      </c>
    </row>
  </sheetData>
  <mergeCells count="4">
    <mergeCell ref="K3:K4"/>
    <mergeCell ref="L3:L4"/>
    <mergeCell ref="N3:N4"/>
    <mergeCell ref="O3:O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4"/>
  </sheetPr>
  <dimension ref="B2:O28"/>
  <sheetViews>
    <sheetView topLeftCell="A12" workbookViewId="0">
      <selection activeCell="D28" sqref="D28"/>
    </sheetView>
  </sheetViews>
  <sheetFormatPr baseColWidth="10" defaultColWidth="11.3984375" defaultRowHeight="14.25" x14ac:dyDescent="0.45"/>
  <cols>
    <col min="2" max="2" width="35.1328125" customWidth="1"/>
    <col min="3" max="4" width="13.73046875" bestFit="1" customWidth="1"/>
    <col min="5" max="5" width="13.3984375" customWidth="1"/>
    <col min="6" max="6" width="14.73046875" customWidth="1"/>
    <col min="7" max="7" width="13.3984375" customWidth="1"/>
    <col min="8" max="8" width="14.86328125" customWidth="1"/>
    <col min="12" max="12" width="14" customWidth="1"/>
    <col min="13" max="13" width="24.265625" customWidth="1"/>
    <col min="14" max="14" width="14.59765625" customWidth="1"/>
    <col min="15" max="15" width="13.73046875" customWidth="1"/>
  </cols>
  <sheetData>
    <row r="2" spans="2:15" ht="14.65" thickBot="1" x14ac:dyDescent="0.5">
      <c r="B2" s="363"/>
      <c r="C2" s="363"/>
      <c r="D2" s="363" t="s">
        <v>482</v>
      </c>
      <c r="E2" s="461">
        <f>'CAPM; WACC'!C9</f>
        <v>0.14803649999999999</v>
      </c>
      <c r="F2" s="363"/>
      <c r="G2" s="363"/>
      <c r="H2" s="363"/>
    </row>
    <row r="3" spans="2:15" ht="15.4" thickBot="1" x14ac:dyDescent="0.5">
      <c r="B3" s="38" t="s">
        <v>362</v>
      </c>
      <c r="C3" s="38" t="s">
        <v>457</v>
      </c>
      <c r="D3" s="38" t="s">
        <v>371</v>
      </c>
      <c r="E3" s="38" t="s">
        <v>185</v>
      </c>
      <c r="F3" s="38" t="s">
        <v>186</v>
      </c>
      <c r="G3" s="38" t="s">
        <v>187</v>
      </c>
      <c r="H3" s="38" t="s">
        <v>188</v>
      </c>
      <c r="K3" s="551" t="s">
        <v>458</v>
      </c>
      <c r="L3" s="551" t="s">
        <v>459</v>
      </c>
      <c r="M3" s="212" t="s">
        <v>460</v>
      </c>
      <c r="N3" s="553" t="s">
        <v>461</v>
      </c>
      <c r="O3" s="553" t="s">
        <v>462</v>
      </c>
    </row>
    <row r="4" spans="2:15" ht="15.4" thickBot="1" x14ac:dyDescent="0.5">
      <c r="B4" s="38" t="s">
        <v>377</v>
      </c>
      <c r="C4" s="38"/>
      <c r="D4" s="38"/>
      <c r="E4" s="38"/>
      <c r="F4" s="38"/>
      <c r="G4" s="38"/>
      <c r="H4" s="38"/>
      <c r="K4" s="552"/>
      <c r="L4" s="552"/>
      <c r="M4" s="214" t="s">
        <v>463</v>
      </c>
      <c r="N4" s="554"/>
      <c r="O4" s="554"/>
    </row>
    <row r="5" spans="2:15" ht="15.75" thickBot="1" x14ac:dyDescent="0.5">
      <c r="B5" s="38" t="s">
        <v>337</v>
      </c>
      <c r="C5" s="38"/>
      <c r="D5" s="72">
        <f>'Pre Tot Ing'!C5</f>
        <v>188728.97199999998</v>
      </c>
      <c r="E5" s="72">
        <f>'Pre Tot Ing'!D5</f>
        <v>197410.50471199999</v>
      </c>
      <c r="F5" s="72">
        <f>'Pre Tot Ing'!E5</f>
        <v>206491.387928752</v>
      </c>
      <c r="G5" s="72">
        <f>'Pre Tot Ing'!F5</f>
        <v>215989.99177347458</v>
      </c>
      <c r="H5" s="72">
        <f>'Pre Tot Ing'!G5</f>
        <v>225925.53139505442</v>
      </c>
      <c r="K5" s="269">
        <v>0</v>
      </c>
      <c r="L5" s="210">
        <f>C28</f>
        <v>-44006.429000000004</v>
      </c>
      <c r="M5" s="215">
        <f>1/(1+$E$2)^K5</f>
        <v>1</v>
      </c>
      <c r="N5" s="216">
        <f>L5*M5</f>
        <v>-44006.429000000004</v>
      </c>
      <c r="O5" s="216">
        <f>N5</f>
        <v>-44006.429000000004</v>
      </c>
    </row>
    <row r="6" spans="2:15" ht="15.75" thickBot="1" x14ac:dyDescent="0.5">
      <c r="B6" s="38" t="s">
        <v>464</v>
      </c>
      <c r="C6" s="38"/>
      <c r="D6" s="72">
        <f>'Pre Tot Ing'!C6</f>
        <v>11679.973199999999</v>
      </c>
      <c r="E6" s="72">
        <f>'Pre Tot Ing'!D6</f>
        <v>12217.2519672</v>
      </c>
      <c r="F6" s="72">
        <f>'Pre Tot Ing'!E6</f>
        <v>12779.2455576912</v>
      </c>
      <c r="G6" s="72">
        <f>'Pre Tot Ing'!F6</f>
        <v>13367.090853344995</v>
      </c>
      <c r="H6" s="72">
        <f>'Pre Tot Ing'!G6</f>
        <v>13981.977032598865</v>
      </c>
      <c r="K6" s="269">
        <v>1</v>
      </c>
      <c r="L6" s="210">
        <f>D28</f>
        <v>17176.07704124345</v>
      </c>
      <c r="M6" s="215">
        <f t="shared" ref="M6:M10" si="0">1/(1+$E$2)^K6</f>
        <v>0.87105244476112043</v>
      </c>
      <c r="N6" s="216">
        <f t="shared" ref="N6:N10" si="1">L6*M6</f>
        <v>14961.263898180459</v>
      </c>
      <c r="O6" s="216">
        <f>O5+N6</f>
        <v>-29045.165101819544</v>
      </c>
    </row>
    <row r="7" spans="2:15" ht="15.75" thickBot="1" x14ac:dyDescent="0.5">
      <c r="B7" s="38" t="s">
        <v>465</v>
      </c>
      <c r="C7" s="38"/>
      <c r="D7" s="72">
        <f>'Pre Tot Ing'!C7</f>
        <v>20141.994599999998</v>
      </c>
      <c r="E7" s="72">
        <f>'Pre Tot Ing'!D7</f>
        <v>21068.526351599998</v>
      </c>
      <c r="F7" s="72">
        <f>'Pre Tot Ing'!E7</f>
        <v>22037.678563773599</v>
      </c>
      <c r="G7" s="72">
        <f>'Pre Tot Ing'!F7</f>
        <v>23051.411777707184</v>
      </c>
      <c r="H7" s="72">
        <f>'Pre Tot Ing'!G7</f>
        <v>24111.776719481717</v>
      </c>
      <c r="K7" s="269">
        <v>2</v>
      </c>
      <c r="L7" s="210">
        <f>E28</f>
        <v>18095.736922011129</v>
      </c>
      <c r="M7" s="215">
        <f t="shared" si="0"/>
        <v>0.75873236152432477</v>
      </c>
      <c r="N7" s="216">
        <f t="shared" si="1"/>
        <v>13729.821208360419</v>
      </c>
      <c r="O7" s="216">
        <f>O6+N7</f>
        <v>-15315.343893459125</v>
      </c>
    </row>
    <row r="8" spans="2:15" ht="15.75" thickBot="1" x14ac:dyDescent="0.5">
      <c r="B8" s="38" t="s">
        <v>466</v>
      </c>
      <c r="C8" s="38"/>
      <c r="D8" s="72">
        <f>SUM(D5:D7)</f>
        <v>220550.93979999999</v>
      </c>
      <c r="E8" s="72">
        <f t="shared" ref="E8:H8" si="2">SUM(E5:E7)</f>
        <v>230696.2830308</v>
      </c>
      <c r="F8" s="72">
        <f t="shared" si="2"/>
        <v>241308.3120502168</v>
      </c>
      <c r="G8" s="72">
        <f t="shared" si="2"/>
        <v>252408.49440452678</v>
      </c>
      <c r="H8" s="72">
        <f t="shared" si="2"/>
        <v>264019.28514713503</v>
      </c>
      <c r="K8" s="269">
        <v>3</v>
      </c>
      <c r="L8" s="210">
        <f>F28</f>
        <v>19042.484826673997</v>
      </c>
      <c r="M8" s="215">
        <f t="shared" si="0"/>
        <v>0.66089567842514152</v>
      </c>
      <c r="N8" s="216">
        <f t="shared" si="1"/>
        <v>12585.095928425175</v>
      </c>
      <c r="O8" s="216">
        <f>O7+N8</f>
        <v>-2730.2479650339501</v>
      </c>
    </row>
    <row r="9" spans="2:15" ht="15.75" thickBot="1" x14ac:dyDescent="0.5">
      <c r="B9" s="38"/>
      <c r="C9" s="38"/>
      <c r="D9" s="38"/>
      <c r="E9" s="38"/>
      <c r="F9" s="38"/>
      <c r="G9" s="38"/>
      <c r="H9" s="38"/>
      <c r="K9" s="269">
        <v>4</v>
      </c>
      <c r="L9" s="210">
        <f>G28</f>
        <v>20015.664763003489</v>
      </c>
      <c r="M9" s="215">
        <f t="shared" si="0"/>
        <v>0.57567479642427877</v>
      </c>
      <c r="N9" s="216">
        <f t="shared" si="1"/>
        <v>11522.513737738644</v>
      </c>
      <c r="O9" s="216">
        <f>O8+N9</f>
        <v>8792.2657727046935</v>
      </c>
    </row>
    <row r="10" spans="2:15" ht="15.75" thickBot="1" x14ac:dyDescent="0.5">
      <c r="B10" s="38" t="s">
        <v>467</v>
      </c>
      <c r="C10" s="38"/>
      <c r="D10" s="38"/>
      <c r="E10" s="38"/>
      <c r="F10" s="38"/>
      <c r="G10" s="38"/>
      <c r="H10" s="38"/>
      <c r="K10" s="269">
        <v>5</v>
      </c>
      <c r="L10" s="210">
        <f>H28</f>
        <v>48715.611141296366</v>
      </c>
      <c r="M10" s="215">
        <f t="shared" si="0"/>
        <v>0.50144293881272828</v>
      </c>
      <c r="N10" s="216">
        <f t="shared" si="1"/>
        <v>24428.099216749739</v>
      </c>
      <c r="O10" s="216">
        <f>O9+N10</f>
        <v>33220.364989454436</v>
      </c>
    </row>
    <row r="11" spans="2:15" x14ac:dyDescent="0.45">
      <c r="B11" s="38" t="s">
        <v>468</v>
      </c>
      <c r="C11" s="38"/>
      <c r="D11" s="467">
        <f>'PER YG'!C5*-1</f>
        <v>-147866.66500000001</v>
      </c>
      <c r="E11" s="467">
        <f>'PER YG'!D5*-1</f>
        <v>-154668.53159000003</v>
      </c>
      <c r="F11" s="467">
        <f>'PER YG'!E5*-1</f>
        <v>-161783.28404314001</v>
      </c>
      <c r="G11" s="467">
        <f>'PER YG'!F5*-1</f>
        <v>-169225.31510912447</v>
      </c>
      <c r="H11" s="467">
        <f>'PER YG'!G5*-1</f>
        <v>-177009.67960414421</v>
      </c>
      <c r="N11" s="172">
        <f>NPV(E2,L6:L10)+L5</f>
        <v>33220.364989454436</v>
      </c>
    </row>
    <row r="12" spans="2:15" x14ac:dyDescent="0.45">
      <c r="B12" s="38" t="s">
        <v>469</v>
      </c>
      <c r="C12" s="38"/>
      <c r="D12" s="467">
        <f>'PER YG'!C7*-1</f>
        <v>-28293.96</v>
      </c>
      <c r="E12" s="467">
        <f>'PER YG'!D7*-1</f>
        <v>-29595.48216</v>
      </c>
      <c r="F12" s="467">
        <f>'PER YG'!E7*-1</f>
        <v>-30956.874339360002</v>
      </c>
      <c r="G12" s="467">
        <f>'PER YG'!F7*-1</f>
        <v>-32380.890558970565</v>
      </c>
      <c r="H12" s="467">
        <f>'PER YG'!G7*-1</f>
        <v>-33870.411524683208</v>
      </c>
      <c r="N12" s="103">
        <f>IRR(L5:L10)</f>
        <v>0.38494411329971623</v>
      </c>
    </row>
    <row r="13" spans="2:15" x14ac:dyDescent="0.45">
      <c r="B13" s="38" t="s">
        <v>471</v>
      </c>
      <c r="C13" s="38"/>
      <c r="D13" s="467">
        <f>'PER YG'!C8*-1</f>
        <v>-7920</v>
      </c>
      <c r="E13" s="467">
        <f>'PER YG'!D8*-1</f>
        <v>-8284.32</v>
      </c>
      <c r="F13" s="467">
        <f>'PER YG'!E8*-1</f>
        <v>-8665.398720000001</v>
      </c>
      <c r="G13" s="467">
        <f>'PER YG'!F8*-1</f>
        <v>-9064.0070611200008</v>
      </c>
      <c r="H13" s="467">
        <f>'PER YG'!G8*-1</f>
        <v>-9480.9513859315211</v>
      </c>
    </row>
    <row r="14" spans="2:15" x14ac:dyDescent="0.45">
      <c r="B14" s="466" t="s">
        <v>483</v>
      </c>
      <c r="C14" s="38"/>
      <c r="D14" s="467">
        <f>'PER YG'!C9*-1</f>
        <v>-3667.202416666667</v>
      </c>
      <c r="E14" s="467">
        <f>'PER YG'!D9*-1</f>
        <v>-3095.654108053347</v>
      </c>
      <c r="F14" s="467">
        <f>'PER YG'!E9*-1</f>
        <v>-2452.6622608633616</v>
      </c>
      <c r="G14" s="467">
        <f>'PER YG'!F9*-1</f>
        <v>-1729.2964327746281</v>
      </c>
      <c r="H14" s="467">
        <f>'PER YG'!G9*-1</f>
        <v>-915.50987617480325</v>
      </c>
    </row>
    <row r="15" spans="2:15" x14ac:dyDescent="0.45">
      <c r="B15" s="38" t="s">
        <v>388</v>
      </c>
      <c r="C15" s="38"/>
      <c r="D15" s="468">
        <f>Depre!F11*-1</f>
        <v>-5293.0990000000002</v>
      </c>
      <c r="E15" s="468">
        <f>Depre!G11*-1</f>
        <v>-5293.0990000000002</v>
      </c>
      <c r="F15" s="468">
        <f>Depre!H11*-1</f>
        <v>-5293.0990000000002</v>
      </c>
      <c r="G15" s="468">
        <f>Depre!I11*-1</f>
        <v>-4120.2790000000005</v>
      </c>
      <c r="H15" s="468">
        <f>Depre!J11*-1</f>
        <v>-4120.2790000000005</v>
      </c>
    </row>
    <row r="16" spans="2:15" ht="14.65" thickBot="1" x14ac:dyDescent="0.5">
      <c r="B16" s="462" t="s">
        <v>472</v>
      </c>
      <c r="C16" s="462"/>
      <c r="D16" s="469">
        <f>SUM(D11:D15)</f>
        <v>-193040.92641666665</v>
      </c>
      <c r="E16" s="469">
        <f t="shared" ref="E16:H16" si="3">SUM(E11:E15)</f>
        <v>-200937.08685805337</v>
      </c>
      <c r="F16" s="469">
        <f t="shared" si="3"/>
        <v>-209151.31836336333</v>
      </c>
      <c r="G16" s="469">
        <f t="shared" si="3"/>
        <v>-216519.78816198968</v>
      </c>
      <c r="H16" s="469">
        <f t="shared" si="3"/>
        <v>-225396.83139093374</v>
      </c>
    </row>
    <row r="17" spans="2:10" ht="14.65" thickBot="1" x14ac:dyDescent="0.5">
      <c r="B17" s="472" t="s">
        <v>473</v>
      </c>
      <c r="C17" s="473"/>
      <c r="D17" s="474">
        <f>D8+D16</f>
        <v>27510.013383333338</v>
      </c>
      <c r="E17" s="474">
        <f t="shared" ref="E17:H17" si="4">E8+E16</f>
        <v>29759.196172746626</v>
      </c>
      <c r="F17" s="474">
        <f t="shared" si="4"/>
        <v>32156.993686853471</v>
      </c>
      <c r="G17" s="474">
        <f t="shared" si="4"/>
        <v>35888.706242537097</v>
      </c>
      <c r="H17" s="475">
        <f t="shared" si="4"/>
        <v>38622.453756201285</v>
      </c>
    </row>
    <row r="18" spans="2:10" x14ac:dyDescent="0.45">
      <c r="B18" s="464" t="s">
        <v>474</v>
      </c>
      <c r="C18" s="464"/>
      <c r="D18" s="471">
        <f>'PER YG'!C11*-1</f>
        <v>-4920.4668574999978</v>
      </c>
      <c r="E18" s="471">
        <f>'PER YG'!D11*-1</f>
        <v>-5257.8442759119926</v>
      </c>
      <c r="F18" s="471">
        <f>'PER YG'!E11*-1</f>
        <v>-5617.5139030280143</v>
      </c>
      <c r="G18" s="471">
        <f>'PER YG'!F11*-1</f>
        <v>-6001.3477863805665</v>
      </c>
      <c r="H18" s="471">
        <f>'PER YG'!G11*-1</f>
        <v>-6411.4099134301932</v>
      </c>
    </row>
    <row r="19" spans="2:10" x14ac:dyDescent="0.45">
      <c r="B19" s="38" t="s">
        <v>475</v>
      </c>
      <c r="C19" s="38"/>
      <c r="D19" s="467">
        <f>'PER YG'!C13*-1</f>
        <v>-6134.182015683331</v>
      </c>
      <c r="E19" s="467">
        <f>'PER YG'!D13*-1</f>
        <v>-6554.7791973036183</v>
      </c>
      <c r="F19" s="467">
        <f>('PER YG'!E13)*-1</f>
        <v>-7003.1673324415915</v>
      </c>
      <c r="G19" s="467">
        <f>'PER YG'!F13*-1</f>
        <v>-7481.6802403544398</v>
      </c>
      <c r="H19" s="467">
        <f>'PER YG'!G13*-1</f>
        <v>-7992.8910254096409</v>
      </c>
    </row>
    <row r="20" spans="2:10" ht="14.65" thickBot="1" x14ac:dyDescent="0.5">
      <c r="B20" s="462" t="s">
        <v>476</v>
      </c>
      <c r="C20" s="462"/>
      <c r="D20" s="469">
        <f>SUM(D18:D19)</f>
        <v>-11054.648873183329</v>
      </c>
      <c r="E20" s="469">
        <f t="shared" ref="E20:H20" si="5">SUM(E18:E19)</f>
        <v>-11812.623473215612</v>
      </c>
      <c r="F20" s="469">
        <f t="shared" si="5"/>
        <v>-12620.681235469605</v>
      </c>
      <c r="G20" s="469">
        <f t="shared" si="5"/>
        <v>-13483.028026735006</v>
      </c>
      <c r="H20" s="469">
        <f t="shared" si="5"/>
        <v>-14404.300938839835</v>
      </c>
    </row>
    <row r="21" spans="2:10" ht="14.65" thickBot="1" x14ac:dyDescent="0.5">
      <c r="B21" s="163" t="s">
        <v>477</v>
      </c>
      <c r="C21" s="245"/>
      <c r="D21" s="272">
        <f>D17+D20</f>
        <v>16455.364510150008</v>
      </c>
      <c r="E21" s="272">
        <f>E17+E20</f>
        <v>17946.572699531014</v>
      </c>
      <c r="F21" s="272">
        <f>F17+F20</f>
        <v>19536.312451383867</v>
      </c>
      <c r="G21" s="272">
        <f>G17+G20</f>
        <v>22405.678215802091</v>
      </c>
      <c r="H21" s="470">
        <f>H17+H20</f>
        <v>24218.15281736145</v>
      </c>
    </row>
    <row r="22" spans="2:10" x14ac:dyDescent="0.45">
      <c r="B22" s="464" t="s">
        <v>478</v>
      </c>
      <c r="C22" s="464"/>
      <c r="D22" s="465">
        <f>Depre!F11</f>
        <v>5293.0990000000002</v>
      </c>
      <c r="E22" s="465">
        <f>Depre!G11</f>
        <v>5293.0990000000002</v>
      </c>
      <c r="F22" s="465">
        <f>Depre!H11</f>
        <v>5293.0990000000002</v>
      </c>
      <c r="G22" s="465">
        <f>Depre!I11</f>
        <v>4120.2790000000005</v>
      </c>
      <c r="H22" s="465">
        <f>Depre!J11</f>
        <v>4120.2790000000005</v>
      </c>
    </row>
    <row r="23" spans="2:10" x14ac:dyDescent="0.45">
      <c r="B23" s="38"/>
      <c r="C23" s="38"/>
      <c r="D23" s="38"/>
      <c r="E23" s="38"/>
      <c r="F23" s="38"/>
      <c r="G23" s="38"/>
      <c r="H23" s="38"/>
    </row>
    <row r="24" spans="2:10" x14ac:dyDescent="0.45">
      <c r="B24" s="38" t="s">
        <v>479</v>
      </c>
      <c r="C24" s="467">
        <f>INV!G15*-1</f>
        <v>-45642.79</v>
      </c>
      <c r="D24" s="38"/>
      <c r="E24" s="38"/>
      <c r="F24" s="38"/>
      <c r="G24" s="38"/>
      <c r="H24" s="38"/>
    </row>
    <row r="25" spans="2:10" x14ac:dyDescent="0.45">
      <c r="B25" s="466" t="s">
        <v>484</v>
      </c>
      <c r="C25" s="72">
        <f>Amor!C5</f>
        <v>29337.619333333336</v>
      </c>
      <c r="D25" s="38"/>
      <c r="E25" s="38"/>
      <c r="F25" s="38"/>
      <c r="G25" s="38"/>
      <c r="H25" s="38"/>
      <c r="J25" s="451"/>
    </row>
    <row r="26" spans="2:10" x14ac:dyDescent="0.45">
      <c r="B26" s="466" t="s">
        <v>485</v>
      </c>
      <c r="C26" s="72"/>
      <c r="D26" s="279">
        <f>Amor!J5*-1</f>
        <v>-4572.3864689065613</v>
      </c>
      <c r="E26" s="279">
        <f>Amor!J6*-1</f>
        <v>-5143.9347775198821</v>
      </c>
      <c r="F26" s="279">
        <f>Amor!J7*-1</f>
        <v>-5786.9266247098676</v>
      </c>
      <c r="G26" s="279">
        <f>Amor!J8*-1</f>
        <v>-6510.2924527985997</v>
      </c>
      <c r="H26" s="279">
        <f>Amor!J9*-1</f>
        <v>-7324.0790093984251</v>
      </c>
    </row>
    <row r="27" spans="2:10" ht="14.65" thickBot="1" x14ac:dyDescent="0.5">
      <c r="B27" s="462" t="s">
        <v>480</v>
      </c>
      <c r="C27" s="469">
        <f>INV!G6*-1</f>
        <v>-27701.258333333335</v>
      </c>
      <c r="D27" s="462"/>
      <c r="E27" s="462"/>
      <c r="F27" s="462"/>
      <c r="G27" s="462"/>
      <c r="H27" s="463">
        <f>INV!G6</f>
        <v>27701.258333333335</v>
      </c>
    </row>
    <row r="28" spans="2:10" ht="14.65" thickBot="1" x14ac:dyDescent="0.5">
      <c r="B28" s="177" t="s">
        <v>481</v>
      </c>
      <c r="C28" s="476">
        <f>C24+C27+C25</f>
        <v>-44006.429000000004</v>
      </c>
      <c r="D28" s="476">
        <f>D21+D22+D26</f>
        <v>17176.07704124345</v>
      </c>
      <c r="E28" s="476">
        <f>E21+E22+E26</f>
        <v>18095.736922011129</v>
      </c>
      <c r="F28" s="476">
        <f>F21+F22+F26</f>
        <v>19042.484826673997</v>
      </c>
      <c r="G28" s="476">
        <f>G21+G22+G26</f>
        <v>20015.664763003489</v>
      </c>
      <c r="H28" s="477">
        <f>H21+H22+H26+H27</f>
        <v>48715.611141296366</v>
      </c>
    </row>
  </sheetData>
  <mergeCells count="4">
    <mergeCell ref="K3:K4"/>
    <mergeCell ref="L3:L4"/>
    <mergeCell ref="N3:N4"/>
    <mergeCell ref="O3:O4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F30"/>
  <sheetViews>
    <sheetView topLeftCell="A7" workbookViewId="0">
      <selection activeCell="C27" sqref="C27"/>
    </sheetView>
  </sheetViews>
  <sheetFormatPr baseColWidth="10" defaultColWidth="11.3984375" defaultRowHeight="14.25" x14ac:dyDescent="0.45"/>
  <cols>
    <col min="2" max="2" width="12.86328125" customWidth="1"/>
    <col min="3" max="3" width="16.86328125" customWidth="1"/>
    <col min="4" max="5" width="17" customWidth="1"/>
    <col min="6" max="6" width="18.265625" customWidth="1"/>
  </cols>
  <sheetData>
    <row r="2" spans="2:6" x14ac:dyDescent="0.45">
      <c r="B2" t="s">
        <v>486</v>
      </c>
    </row>
    <row r="3" spans="2:6" x14ac:dyDescent="0.45">
      <c r="B3" s="107"/>
      <c r="C3" s="107"/>
      <c r="D3" s="107">
        <f>'FLC F W'!E2</f>
        <v>0.13882189999999994</v>
      </c>
    </row>
    <row r="5" spans="2:6" ht="42.75" x14ac:dyDescent="0.45">
      <c r="B5" s="1" t="s">
        <v>362</v>
      </c>
      <c r="C5" s="1" t="s">
        <v>487</v>
      </c>
      <c r="D5" s="283" t="s">
        <v>488</v>
      </c>
      <c r="E5" s="283" t="s">
        <v>489</v>
      </c>
      <c r="F5" s="283" t="s">
        <v>490</v>
      </c>
    </row>
    <row r="6" spans="2:6" x14ac:dyDescent="0.45">
      <c r="B6" s="1">
        <v>0</v>
      </c>
      <c r="C6" s="276">
        <f>'FLC F CAP'!C28</f>
        <v>-44006.429000000004</v>
      </c>
      <c r="D6" s="7">
        <f>1/(1+$D$3)^B6</f>
        <v>1</v>
      </c>
      <c r="E6" s="288">
        <f>C6*D6</f>
        <v>-44006.429000000004</v>
      </c>
      <c r="F6" s="288">
        <f>E6</f>
        <v>-44006.429000000004</v>
      </c>
    </row>
    <row r="7" spans="2:6" x14ac:dyDescent="0.45">
      <c r="B7" s="1">
        <v>1</v>
      </c>
      <c r="C7" s="276">
        <f>'FLC F CAP'!D28</f>
        <v>17176.07704124345</v>
      </c>
      <c r="D7" s="7">
        <f t="shared" ref="D7:D11" si="0">1/(1+$D$3)^B7</f>
        <v>0.87810042992675152</v>
      </c>
      <c r="E7" s="288">
        <f t="shared" ref="E7:E11" si="1">C7*D7</f>
        <v>15082.320634370881</v>
      </c>
      <c r="F7" s="288">
        <f>F6+E7</f>
        <v>-28924.108365629123</v>
      </c>
    </row>
    <row r="8" spans="2:6" x14ac:dyDescent="0.45">
      <c r="B8" s="1">
        <v>2</v>
      </c>
      <c r="C8" s="276">
        <f>'FLC F CAP'!E28</f>
        <v>18095.736922011129</v>
      </c>
      <c r="D8" s="7">
        <f t="shared" si="0"/>
        <v>0.77106036503754583</v>
      </c>
      <c r="E8" s="288">
        <f t="shared" si="1"/>
        <v>13952.905516709297</v>
      </c>
      <c r="F8" s="288">
        <f>F7+E8</f>
        <v>-14971.202848919826</v>
      </c>
    </row>
    <row r="9" spans="2:6" x14ac:dyDescent="0.45">
      <c r="B9" s="1">
        <v>3</v>
      </c>
      <c r="C9" s="276">
        <f>'FLC F CAP'!F28</f>
        <v>19042.484826673997</v>
      </c>
      <c r="D9" s="7">
        <f t="shared" si="0"/>
        <v>0.67706843803894701</v>
      </c>
      <c r="E9" s="288">
        <f t="shared" si="1"/>
        <v>12893.065457976512</v>
      </c>
      <c r="F9" s="288">
        <f>F8+E9</f>
        <v>-2078.1373909433132</v>
      </c>
    </row>
    <row r="10" spans="2:6" x14ac:dyDescent="0.45">
      <c r="B10" s="1">
        <v>4</v>
      </c>
      <c r="C10" s="276">
        <f>'FLC F CAP'!G28</f>
        <v>20015.664763003489</v>
      </c>
      <c r="D10" s="7">
        <f t="shared" si="0"/>
        <v>0.59453408653183348</v>
      </c>
      <c r="E10" s="288">
        <f t="shared" si="1"/>
        <v>11899.994966199687</v>
      </c>
      <c r="F10" s="288">
        <f>F9+E10</f>
        <v>9821.8575752563738</v>
      </c>
    </row>
    <row r="11" spans="2:6" ht="14.65" thickBot="1" x14ac:dyDescent="0.5">
      <c r="B11" s="1">
        <v>5</v>
      </c>
      <c r="C11" s="276">
        <f>'FLC F CAP'!H28</f>
        <v>48715.611141296366</v>
      </c>
      <c r="D11" s="7">
        <f t="shared" si="0"/>
        <v>0.52206063698971139</v>
      </c>
      <c r="E11" s="289">
        <f t="shared" si="1"/>
        <v>25432.502983768263</v>
      </c>
      <c r="F11" s="289">
        <f>F10+E11</f>
        <v>35254.360559024637</v>
      </c>
    </row>
    <row r="12" spans="2:6" ht="14.65" thickBot="1" x14ac:dyDescent="0.5">
      <c r="D12" s="290" t="s">
        <v>491</v>
      </c>
      <c r="E12" s="374">
        <f>SUM(E6:E11)</f>
        <v>35254.360559024637</v>
      </c>
      <c r="F12" s="291"/>
    </row>
    <row r="13" spans="2:6" ht="14.65" thickBot="1" x14ac:dyDescent="0.5">
      <c r="B13" s="290" t="s">
        <v>470</v>
      </c>
      <c r="C13" s="292">
        <f>IRR(C6:C11)</f>
        <v>0.38494411329971623</v>
      </c>
    </row>
    <row r="15" spans="2:6" x14ac:dyDescent="0.45">
      <c r="D15" s="282">
        <v>0.23612</v>
      </c>
    </row>
    <row r="16" spans="2:6" ht="42.75" x14ac:dyDescent="0.45">
      <c r="B16" s="1" t="s">
        <v>362</v>
      </c>
      <c r="C16" s="1" t="s">
        <v>487</v>
      </c>
      <c r="D16" s="283" t="s">
        <v>488</v>
      </c>
      <c r="E16" s="283" t="s">
        <v>489</v>
      </c>
      <c r="F16" s="283" t="s">
        <v>490</v>
      </c>
    </row>
    <row r="17" spans="2:6" x14ac:dyDescent="0.45">
      <c r="B17" s="1">
        <v>0</v>
      </c>
      <c r="C17" s="284">
        <f t="shared" ref="C17:C22" si="2">C6</f>
        <v>-44006.429000000004</v>
      </c>
      <c r="D17" s="1">
        <f>1/(1+$D$15)^B17</f>
        <v>1</v>
      </c>
      <c r="E17" s="284">
        <f>C17*D17</f>
        <v>-44006.429000000004</v>
      </c>
      <c r="F17" s="284">
        <f>E17</f>
        <v>-44006.429000000004</v>
      </c>
    </row>
    <row r="18" spans="2:6" x14ac:dyDescent="0.45">
      <c r="B18" s="1">
        <v>1</v>
      </c>
      <c r="C18" s="284">
        <f t="shared" si="2"/>
        <v>17176.07704124345</v>
      </c>
      <c r="D18" s="1">
        <f t="shared" ref="D18:D22" si="3">1/(1+$D$15)^B18</f>
        <v>0.80898294663948478</v>
      </c>
      <c r="E18" s="284">
        <f t="shared" ref="E18:E22" si="4">C18*D18</f>
        <v>13895.15341653193</v>
      </c>
      <c r="F18" s="284">
        <f>F17+E18</f>
        <v>-30111.275583468072</v>
      </c>
    </row>
    <row r="19" spans="2:6" x14ac:dyDescent="0.45">
      <c r="B19" s="1">
        <v>2</v>
      </c>
      <c r="C19" s="284">
        <f t="shared" si="2"/>
        <v>18095.736922011129</v>
      </c>
      <c r="D19" s="1">
        <f t="shared" si="3"/>
        <v>0.65445340795350349</v>
      </c>
      <c r="E19" s="284">
        <f t="shared" si="4"/>
        <v>11842.816698040224</v>
      </c>
      <c r="F19" s="284">
        <f>F18+E19</f>
        <v>-18268.458885427848</v>
      </c>
    </row>
    <row r="20" spans="2:6" x14ac:dyDescent="0.45">
      <c r="B20" s="1">
        <v>3</v>
      </c>
      <c r="C20" s="284">
        <f t="shared" si="2"/>
        <v>19042.484826673997</v>
      </c>
      <c r="D20" s="1">
        <f t="shared" si="3"/>
        <v>0.52944164640447799</v>
      </c>
      <c r="E20" s="284">
        <f t="shared" si="4"/>
        <v>10081.884518266572</v>
      </c>
      <c r="F20" s="284">
        <f>F19+E20</f>
        <v>-8186.5743671612763</v>
      </c>
    </row>
    <row r="21" spans="2:6" x14ac:dyDescent="0.45">
      <c r="B21" s="1">
        <v>4</v>
      </c>
      <c r="C21" s="284">
        <f t="shared" si="2"/>
        <v>20015.664763003489</v>
      </c>
      <c r="D21" s="1">
        <f t="shared" si="3"/>
        <v>0.42830926318195484</v>
      </c>
      <c r="E21" s="284">
        <f t="shared" si="4"/>
        <v>8572.894626739042</v>
      </c>
      <c r="F21" s="284">
        <f>F20+E21</f>
        <v>386.32025957776568</v>
      </c>
    </row>
    <row r="22" spans="2:6" x14ac:dyDescent="0.45">
      <c r="B22" s="1">
        <v>5</v>
      </c>
      <c r="C22" s="284">
        <f t="shared" si="2"/>
        <v>48715.611141296366</v>
      </c>
      <c r="D22" s="1">
        <f t="shared" si="3"/>
        <v>0.34649488980192439</v>
      </c>
      <c r="E22" s="284">
        <f t="shared" si="4"/>
        <v>16879.710314036885</v>
      </c>
      <c r="F22" s="284">
        <f>F21+E22</f>
        <v>17266.030573614651</v>
      </c>
    </row>
    <row r="23" spans="2:6" ht="14.65" thickBot="1" x14ac:dyDescent="0.5">
      <c r="D23" s="285" t="s">
        <v>491</v>
      </c>
      <c r="E23" s="286">
        <f>SUM(E17:E22)</f>
        <v>17266.030573614651</v>
      </c>
      <c r="F23" s="287"/>
    </row>
    <row r="25" spans="2:6" x14ac:dyDescent="0.45">
      <c r="B25" t="s">
        <v>492</v>
      </c>
      <c r="C25" s="107">
        <f>IRR(C17:C22)</f>
        <v>0.38494411329971623</v>
      </c>
    </row>
    <row r="26" spans="2:6" x14ac:dyDescent="0.45">
      <c r="B26" t="s">
        <v>470</v>
      </c>
      <c r="C26" s="107">
        <f>C27+D28</f>
        <v>0.32951121367671127</v>
      </c>
      <c r="F26">
        <f>17.79-8.85</f>
        <v>8.94</v>
      </c>
    </row>
    <row r="27" spans="2:6" x14ac:dyDescent="0.45">
      <c r="B27" t="s">
        <v>470</v>
      </c>
      <c r="C27" s="282">
        <f>D3</f>
        <v>0.13882189999999994</v>
      </c>
      <c r="D27" s="107">
        <f>D15-C27</f>
        <v>9.7298100000000054E-2</v>
      </c>
      <c r="E27">
        <f>E12/(E12-(E23))</f>
        <v>1.9598462218348685</v>
      </c>
    </row>
    <row r="28" spans="2:6" x14ac:dyDescent="0.45">
      <c r="B28" t="s">
        <v>470</v>
      </c>
      <c r="C28" s="107"/>
      <c r="D28" s="435">
        <f>D27*E27</f>
        <v>0.19068931367671133</v>
      </c>
    </row>
    <row r="29" spans="2:6" x14ac:dyDescent="0.45">
      <c r="C29" s="107"/>
      <c r="D29" s="107"/>
      <c r="F29" s="120"/>
    </row>
    <row r="30" spans="2:6" x14ac:dyDescent="0.45">
      <c r="D30">
        <f>23.64-14.8</f>
        <v>8.84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F30"/>
  <sheetViews>
    <sheetView topLeftCell="A4" workbookViewId="0">
      <selection activeCell="I13" sqref="I13"/>
    </sheetView>
  </sheetViews>
  <sheetFormatPr baseColWidth="10" defaultColWidth="11.3984375" defaultRowHeight="14.25" x14ac:dyDescent="0.45"/>
  <cols>
    <col min="2" max="2" width="12.86328125" customWidth="1"/>
    <col min="3" max="3" width="16.86328125" customWidth="1"/>
    <col min="4" max="5" width="17" customWidth="1"/>
    <col min="6" max="6" width="18.265625" customWidth="1"/>
  </cols>
  <sheetData>
    <row r="2" spans="2:6" x14ac:dyDescent="0.45">
      <c r="B2" t="s">
        <v>486</v>
      </c>
    </row>
    <row r="3" spans="2:6" x14ac:dyDescent="0.45">
      <c r="B3" s="107"/>
      <c r="C3" s="107"/>
      <c r="D3" s="107">
        <f>'FLC F CAP'!E2</f>
        <v>0.14803649999999999</v>
      </c>
    </row>
    <row r="5" spans="2:6" ht="42.75" x14ac:dyDescent="0.45">
      <c r="B5" s="1" t="s">
        <v>362</v>
      </c>
      <c r="C5" s="1" t="s">
        <v>487</v>
      </c>
      <c r="D5" s="283" t="s">
        <v>488</v>
      </c>
      <c r="E5" s="283" t="s">
        <v>489</v>
      </c>
      <c r="F5" s="283" t="s">
        <v>490</v>
      </c>
    </row>
    <row r="6" spans="2:6" x14ac:dyDescent="0.45">
      <c r="B6" s="1">
        <v>0</v>
      </c>
      <c r="C6" s="276">
        <f>'FLC F W'!C25</f>
        <v>-73344.04833333334</v>
      </c>
      <c r="D6" s="7">
        <f>1/(1+$D$3)^B6</f>
        <v>1</v>
      </c>
      <c r="E6" s="288">
        <f>C6*D6</f>
        <v>-73344.04833333334</v>
      </c>
      <c r="F6" s="288">
        <f>E6</f>
        <v>-73344.04833333334</v>
      </c>
    </row>
    <row r="7" spans="2:6" x14ac:dyDescent="0.45">
      <c r="B7" s="1">
        <v>1</v>
      </c>
      <c r="C7" s="276">
        <f>'FLC F W'!D25</f>
        <v>25415.665926816677</v>
      </c>
      <c r="D7" s="7">
        <f t="shared" ref="D7:D11" si="0">1/(1+$D$3)^B7</f>
        <v>0.87105244476112043</v>
      </c>
      <c r="E7" s="288">
        <f t="shared" ref="E7:E11" si="1">C7*D7</f>
        <v>22138.377940785573</v>
      </c>
      <c r="F7" s="288">
        <f>F6+E7</f>
        <v>-51205.670392547763</v>
      </c>
    </row>
    <row r="8" spans="2:6" x14ac:dyDescent="0.45">
      <c r="B8" s="1">
        <v>2</v>
      </c>
      <c r="C8" s="276">
        <f>'FLC F W'!E25</f>
        <v>26335.325807584348</v>
      </c>
      <c r="D8" s="7">
        <f t="shared" si="0"/>
        <v>0.75873236152432477</v>
      </c>
      <c r="E8" s="288">
        <f t="shared" si="1"/>
        <v>19981.463941500966</v>
      </c>
      <c r="F8" s="288">
        <f>F7+E8</f>
        <v>-31224.206451046797</v>
      </c>
    </row>
    <row r="9" spans="2:6" x14ac:dyDescent="0.45">
      <c r="B9" s="1">
        <v>3</v>
      </c>
      <c r="C9" s="276">
        <f>'FLC F W'!F25</f>
        <v>27282.073712247213</v>
      </c>
      <c r="D9" s="7">
        <f t="shared" si="0"/>
        <v>0.66089567842514152</v>
      </c>
      <c r="E9" s="288">
        <f t="shared" si="1"/>
        <v>18030.604614900341</v>
      </c>
      <c r="F9" s="288">
        <f>F8+E9</f>
        <v>-13193.601836146456</v>
      </c>
    </row>
    <row r="10" spans="2:6" x14ac:dyDescent="0.45">
      <c r="B10" s="1">
        <v>4</v>
      </c>
      <c r="C10" s="276">
        <f>'FLC F W'!G25</f>
        <v>28255.25364857672</v>
      </c>
      <c r="D10" s="7">
        <f t="shared" si="0"/>
        <v>0.57567479642427877</v>
      </c>
      <c r="E10" s="288">
        <f t="shared" si="1"/>
        <v>16265.837392060763</v>
      </c>
      <c r="F10" s="288">
        <f>F9+E10</f>
        <v>3072.235555914307</v>
      </c>
    </row>
    <row r="11" spans="2:6" ht="14.65" thickBot="1" x14ac:dyDescent="0.5">
      <c r="B11" s="1">
        <v>5</v>
      </c>
      <c r="C11" s="276">
        <f>'FLC F W'!H25</f>
        <v>56955.200026869585</v>
      </c>
      <c r="D11" s="7">
        <f t="shared" si="0"/>
        <v>0.50144293881272828</v>
      </c>
      <c r="E11" s="289">
        <f t="shared" si="1"/>
        <v>28559.782882140265</v>
      </c>
      <c r="F11" s="289">
        <f>F10+E11</f>
        <v>31632.018438054572</v>
      </c>
    </row>
    <row r="12" spans="2:6" ht="14.65" thickBot="1" x14ac:dyDescent="0.5">
      <c r="D12" s="290" t="s">
        <v>491</v>
      </c>
      <c r="E12" s="374">
        <f>SUM(E6:E11)</f>
        <v>31632.018438054572</v>
      </c>
      <c r="F12" s="291"/>
    </row>
    <row r="13" spans="2:6" ht="14.65" thickBot="1" x14ac:dyDescent="0.5">
      <c r="B13" s="290" t="s">
        <v>470</v>
      </c>
      <c r="C13" s="292">
        <f>IRR(C6:C11)</f>
        <v>0.29645798521208988</v>
      </c>
    </row>
    <row r="15" spans="2:6" x14ac:dyDescent="0.45">
      <c r="D15" s="282">
        <v>0.23612</v>
      </c>
    </row>
    <row r="16" spans="2:6" ht="42.75" x14ac:dyDescent="0.45">
      <c r="B16" s="1" t="s">
        <v>362</v>
      </c>
      <c r="C16" s="1" t="s">
        <v>487</v>
      </c>
      <c r="D16" s="283" t="s">
        <v>488</v>
      </c>
      <c r="E16" s="283" t="s">
        <v>489</v>
      </c>
      <c r="F16" s="283" t="s">
        <v>490</v>
      </c>
    </row>
    <row r="17" spans="2:6" x14ac:dyDescent="0.45">
      <c r="B17" s="1">
        <v>0</v>
      </c>
      <c r="C17" s="284">
        <f t="shared" ref="C17:C22" si="2">C6</f>
        <v>-73344.04833333334</v>
      </c>
      <c r="D17" s="1">
        <f>1/(1+$D$15)^B17</f>
        <v>1</v>
      </c>
      <c r="E17" s="284">
        <f>C17*D17</f>
        <v>-73344.04833333334</v>
      </c>
      <c r="F17" s="284">
        <f>E17</f>
        <v>-73344.04833333334</v>
      </c>
    </row>
    <row r="18" spans="2:6" x14ac:dyDescent="0.45">
      <c r="B18" s="1">
        <v>1</v>
      </c>
      <c r="C18" s="284">
        <f t="shared" si="2"/>
        <v>25415.665926816677</v>
      </c>
      <c r="D18" s="1">
        <f t="shared" ref="D18:D22" si="3">1/(1+$D$15)^B18</f>
        <v>0.80898294663948478</v>
      </c>
      <c r="E18" s="284">
        <f t="shared" ref="E18:E22" si="4">C18*D18</f>
        <v>20560.840312280907</v>
      </c>
      <c r="F18" s="284">
        <f>F17+E18</f>
        <v>-52783.208021052429</v>
      </c>
    </row>
    <row r="19" spans="2:6" x14ac:dyDescent="0.45">
      <c r="B19" s="1">
        <v>2</v>
      </c>
      <c r="C19" s="284">
        <f t="shared" si="2"/>
        <v>26335.325807584348</v>
      </c>
      <c r="D19" s="1">
        <f t="shared" si="3"/>
        <v>0.65445340795350349</v>
      </c>
      <c r="E19" s="284">
        <f t="shared" si="4"/>
        <v>17235.243724339427</v>
      </c>
      <c r="F19" s="284">
        <f>F18+E19</f>
        <v>-35547.964296713006</v>
      </c>
    </row>
    <row r="20" spans="2:6" x14ac:dyDescent="0.45">
      <c r="B20" s="1">
        <v>3</v>
      </c>
      <c r="C20" s="284">
        <f t="shared" si="2"/>
        <v>27282.073712247213</v>
      </c>
      <c r="D20" s="1">
        <f t="shared" si="3"/>
        <v>0.52944164640447799</v>
      </c>
      <c r="E20" s="284">
        <f t="shared" si="4"/>
        <v>14444.266023540493</v>
      </c>
      <c r="F20" s="284">
        <f>F19+E20</f>
        <v>-21103.698273172515</v>
      </c>
    </row>
    <row r="21" spans="2:6" x14ac:dyDescent="0.45">
      <c r="B21" s="1">
        <v>4</v>
      </c>
      <c r="C21" s="284">
        <f t="shared" si="2"/>
        <v>28255.25364857672</v>
      </c>
      <c r="D21" s="1">
        <f t="shared" si="3"/>
        <v>0.42830926318195484</v>
      </c>
      <c r="E21" s="284">
        <f t="shared" si="4"/>
        <v>12101.986871241135</v>
      </c>
      <c r="F21" s="284">
        <f>F20+E21</f>
        <v>-9001.7114019313794</v>
      </c>
    </row>
    <row r="22" spans="2:6" x14ac:dyDescent="0.45">
      <c r="B22" s="1">
        <v>5</v>
      </c>
      <c r="C22" s="284">
        <f t="shared" si="2"/>
        <v>56955.200026869585</v>
      </c>
      <c r="D22" s="1">
        <f t="shared" si="3"/>
        <v>0.34649488980192439</v>
      </c>
      <c r="E22" s="284">
        <f t="shared" si="4"/>
        <v>19734.685756956736</v>
      </c>
      <c r="F22" s="284">
        <f>F21+E22</f>
        <v>10732.974355025357</v>
      </c>
    </row>
    <row r="23" spans="2:6" ht="14.65" thickBot="1" x14ac:dyDescent="0.5">
      <c r="D23" s="285" t="s">
        <v>491</v>
      </c>
      <c r="E23" s="286">
        <f>SUM(E17:E22)</f>
        <v>10732.974355025357</v>
      </c>
      <c r="F23" s="287"/>
    </row>
    <row r="25" spans="2:6" x14ac:dyDescent="0.45">
      <c r="B25" t="s">
        <v>492</v>
      </c>
      <c r="C25" s="107">
        <f>IRR(C17:C22)</f>
        <v>0.29645798521208988</v>
      </c>
    </row>
    <row r="26" spans="2:6" x14ac:dyDescent="0.45">
      <c r="B26" t="s">
        <v>470</v>
      </c>
      <c r="C26" s="107">
        <f>C27+D28</f>
        <v>0.28135642051975829</v>
      </c>
      <c r="F26">
        <f>17.79-8.85</f>
        <v>8.94</v>
      </c>
    </row>
    <row r="27" spans="2:6" x14ac:dyDescent="0.45">
      <c r="B27" t="s">
        <v>470</v>
      </c>
      <c r="C27" s="282">
        <f>D3</f>
        <v>0.14803649999999999</v>
      </c>
      <c r="D27" s="107">
        <f>D15-C27</f>
        <v>8.8083500000000009E-2</v>
      </c>
      <c r="E27">
        <f>E12/(E12-(E23))</f>
        <v>1.513562931987924</v>
      </c>
    </row>
    <row r="28" spans="2:6" x14ac:dyDescent="0.45">
      <c r="B28" t="s">
        <v>470</v>
      </c>
      <c r="C28" s="107"/>
      <c r="D28" s="435">
        <f>D27*E27</f>
        <v>0.13331992051975833</v>
      </c>
    </row>
    <row r="29" spans="2:6" x14ac:dyDescent="0.45">
      <c r="C29" s="107"/>
      <c r="D29" s="107"/>
      <c r="F29" s="120"/>
    </row>
    <row r="30" spans="2:6" x14ac:dyDescent="0.45">
      <c r="D30">
        <f>23.64-14.8</f>
        <v>8.84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1:AX84"/>
  <sheetViews>
    <sheetView zoomScaleNormal="100" workbookViewId="0">
      <selection activeCell="L21" sqref="L21"/>
    </sheetView>
  </sheetViews>
  <sheetFormatPr baseColWidth="10" defaultColWidth="11.3984375" defaultRowHeight="14.25" x14ac:dyDescent="0.45"/>
  <cols>
    <col min="2" max="2" width="22.86328125" customWidth="1"/>
    <col min="3" max="3" width="14.86328125" customWidth="1"/>
    <col min="4" max="4" width="13" customWidth="1"/>
    <col min="5" max="5" width="13.59765625" customWidth="1"/>
    <col min="6" max="7" width="13.265625" customWidth="1"/>
    <col min="8" max="8" width="12" customWidth="1"/>
    <col min="9" max="9" width="12.86328125" customWidth="1"/>
    <col min="10" max="10" width="12" customWidth="1"/>
    <col min="12" max="12" width="11.265625" customWidth="1"/>
    <col min="13" max="13" width="12" customWidth="1"/>
    <col min="14" max="14" width="13.59765625" customWidth="1"/>
    <col min="15" max="15" width="12" customWidth="1"/>
    <col min="17" max="17" width="14.3984375" customWidth="1"/>
    <col min="18" max="18" width="15.265625" customWidth="1"/>
    <col min="24" max="24" width="11.86328125" customWidth="1"/>
    <col min="46" max="46" width="14" customWidth="1"/>
    <col min="47" max="47" width="12" customWidth="1"/>
    <col min="50" max="50" width="13.59765625" customWidth="1"/>
  </cols>
  <sheetData>
    <row r="1" spans="2:11" x14ac:dyDescent="0.45">
      <c r="J1" s="443"/>
    </row>
    <row r="2" spans="2:11" ht="15" customHeight="1" x14ac:dyDescent="0.45">
      <c r="B2" s="557" t="s">
        <v>428</v>
      </c>
      <c r="C2" s="558" t="s">
        <v>493</v>
      </c>
      <c r="D2" s="558"/>
      <c r="E2" s="557" t="s">
        <v>494</v>
      </c>
      <c r="F2" s="557"/>
      <c r="G2" s="557"/>
      <c r="H2" s="557"/>
      <c r="I2" s="557"/>
      <c r="J2" s="557"/>
      <c r="K2" s="557"/>
    </row>
    <row r="3" spans="2:11" ht="15" customHeight="1" x14ac:dyDescent="0.45">
      <c r="B3" s="557"/>
      <c r="C3" s="558"/>
      <c r="D3" s="558"/>
      <c r="E3" s="396" t="s">
        <v>495</v>
      </c>
      <c r="F3" s="396" t="s">
        <v>496</v>
      </c>
      <c r="G3" s="396" t="s">
        <v>497</v>
      </c>
      <c r="H3" s="396" t="s">
        <v>498</v>
      </c>
      <c r="I3" s="396" t="s">
        <v>499</v>
      </c>
      <c r="J3" s="439" t="s">
        <v>500</v>
      </c>
      <c r="K3" s="425" t="s">
        <v>501</v>
      </c>
    </row>
    <row r="4" spans="2:11" x14ac:dyDescent="0.45">
      <c r="B4" s="38"/>
      <c r="C4" s="397" t="s">
        <v>502</v>
      </c>
      <c r="D4" s="398" t="s">
        <v>503</v>
      </c>
      <c r="E4" s="399">
        <f>MP!H13</f>
        <v>0.75900091746479215</v>
      </c>
      <c r="F4" s="399">
        <f>MP!H14</f>
        <v>3.4483285085485663E-2</v>
      </c>
      <c r="G4" s="399">
        <f>MP!H15</f>
        <v>1.0673397764555085E-2</v>
      </c>
      <c r="H4" s="399">
        <f>MP!H16</f>
        <v>1.5599581348195894E-2</v>
      </c>
      <c r="I4" s="399">
        <f>MP!H17</f>
        <v>0.1588694205724161</v>
      </c>
      <c r="J4" s="436">
        <v>1.0699999999999999E-2</v>
      </c>
      <c r="K4" s="442">
        <v>1.0699999999999999E-2</v>
      </c>
    </row>
    <row r="5" spans="2:11" x14ac:dyDescent="0.45">
      <c r="B5" s="38" t="s">
        <v>504</v>
      </c>
      <c r="C5" s="53"/>
      <c r="D5" s="400">
        <f>MP!C18</f>
        <v>43360.137999999999</v>
      </c>
      <c r="E5" s="400">
        <f>$D$5*E4</f>
        <v>32910.384523399996</v>
      </c>
      <c r="F5" s="400">
        <f t="shared" ref="F5:I5" si="0">$D$5*F4</f>
        <v>1495.2</v>
      </c>
      <c r="G5" s="400">
        <f t="shared" si="0"/>
        <v>462.8</v>
      </c>
      <c r="H5" s="400">
        <f t="shared" si="0"/>
        <v>676.4</v>
      </c>
      <c r="I5" s="400">
        <f t="shared" si="0"/>
        <v>6888.6000000000013</v>
      </c>
      <c r="J5" s="400">
        <f>CNT!L29*Deman!J11</f>
        <v>6707.6417519999986</v>
      </c>
      <c r="K5" s="400">
        <f>CNT!L40*12</f>
        <v>3967.2000000000003</v>
      </c>
    </row>
    <row r="6" spans="2:11" x14ac:dyDescent="0.45">
      <c r="B6" s="38" t="s">
        <v>505</v>
      </c>
      <c r="C6" s="53"/>
      <c r="D6" s="400">
        <f>Costos!C65</f>
        <v>19485.699999999997</v>
      </c>
      <c r="E6" s="400">
        <f>$D$6*E4</f>
        <v>14789.664177443698</v>
      </c>
      <c r="F6" s="400">
        <f t="shared" ref="F6:I6" si="1">$D$6*F4</f>
        <v>671.93094819024793</v>
      </c>
      <c r="G6" s="400">
        <f t="shared" si="1"/>
        <v>207.97862682079099</v>
      </c>
      <c r="H6" s="400">
        <f t="shared" si="1"/>
        <v>303.9687622765407</v>
      </c>
      <c r="I6" s="400">
        <f t="shared" si="1"/>
        <v>3095.6818684479281</v>
      </c>
      <c r="J6" s="400">
        <f>Remun!J13/2</f>
        <v>3380.5999999999995</v>
      </c>
      <c r="K6" s="440">
        <f>Remun!J13/2</f>
        <v>3380.5999999999995</v>
      </c>
    </row>
    <row r="7" spans="2:11" x14ac:dyDescent="0.45">
      <c r="B7" s="38" t="s">
        <v>180</v>
      </c>
      <c r="C7" s="53"/>
      <c r="D7" s="400">
        <f>SUM(D5:D6)</f>
        <v>62845.837999999996</v>
      </c>
      <c r="E7" s="400">
        <f>SUM(E5:E6)</f>
        <v>47700.04870084369</v>
      </c>
      <c r="F7" s="400">
        <f t="shared" ref="F7:I7" si="2">SUM(F5:F6)</f>
        <v>2167.1309481902481</v>
      </c>
      <c r="G7" s="400">
        <f t="shared" si="2"/>
        <v>670.77862682079103</v>
      </c>
      <c r="H7" s="400">
        <f t="shared" si="2"/>
        <v>980.36876227654068</v>
      </c>
      <c r="I7" s="400">
        <f t="shared" si="2"/>
        <v>9984.2818684479298</v>
      </c>
      <c r="J7" s="400">
        <f>SUM(J5:J6)</f>
        <v>10088.241751999998</v>
      </c>
      <c r="K7" s="400">
        <f>SUM(K5:K6)</f>
        <v>7347.7999999999993</v>
      </c>
    </row>
    <row r="8" spans="2:11" x14ac:dyDescent="0.45">
      <c r="B8" s="38" t="s">
        <v>506</v>
      </c>
      <c r="C8" s="401">
        <f>Costos!C69</f>
        <v>26985.96</v>
      </c>
      <c r="D8" s="401"/>
      <c r="E8" s="401">
        <f>$C$8*E4</f>
        <v>20482.368398668183</v>
      </c>
      <c r="F8" s="401">
        <f t="shared" ref="F8:I8" si="3">$C$8*F4</f>
        <v>930.56455198551259</v>
      </c>
      <c r="G8" s="401">
        <f t="shared" si="3"/>
        <v>288.03188513837296</v>
      </c>
      <c r="H8" s="401">
        <f t="shared" si="3"/>
        <v>420.96967827916046</v>
      </c>
      <c r="I8" s="401">
        <f t="shared" si="3"/>
        <v>4287.2438287903979</v>
      </c>
      <c r="J8" s="437">
        <f>C8*$J$4</f>
        <v>288.74977199999995</v>
      </c>
      <c r="K8" s="438">
        <f>C8*$K$4</f>
        <v>288.74977199999995</v>
      </c>
    </row>
    <row r="9" spans="2:11" x14ac:dyDescent="0.45">
      <c r="B9" s="38" t="s">
        <v>507</v>
      </c>
      <c r="C9" s="401">
        <f>Costos!C74</f>
        <v>380</v>
      </c>
      <c r="D9" s="401"/>
      <c r="E9" s="401">
        <f>$C$9*E4</f>
        <v>288.42034863662104</v>
      </c>
      <c r="F9" s="401">
        <f t="shared" ref="F9:I9" si="4">$C$9*F4</f>
        <v>13.103648332484552</v>
      </c>
      <c r="G9" s="401">
        <f t="shared" si="4"/>
        <v>4.0558911505309325</v>
      </c>
      <c r="H9" s="401">
        <f t="shared" si="4"/>
        <v>5.9278409123144398</v>
      </c>
      <c r="I9" s="401">
        <f t="shared" si="4"/>
        <v>60.370379817518121</v>
      </c>
      <c r="J9" s="437">
        <f t="shared" ref="J9:J13" si="5">C9*$J$4</f>
        <v>4.0659999999999998</v>
      </c>
      <c r="K9" s="438">
        <f t="shared" ref="K9:K13" si="6">C9*$K$4</f>
        <v>4.0659999999999998</v>
      </c>
    </row>
    <row r="10" spans="2:11" x14ac:dyDescent="0.45">
      <c r="B10" s="38" t="s">
        <v>508</v>
      </c>
      <c r="C10" s="401">
        <f>Costos!C73</f>
        <v>5293.0990000000002</v>
      </c>
      <c r="D10" s="401"/>
      <c r="E10" s="401">
        <f>$C$10*E4</f>
        <v>4017.4669972319739</v>
      </c>
      <c r="F10" s="401">
        <f t="shared" ref="F10:I10" si="7">$C$10*F4</f>
        <v>182.52344180269907</v>
      </c>
      <c r="G10" s="401">
        <f t="shared" si="7"/>
        <v>56.495351034168756</v>
      </c>
      <c r="H10" s="401">
        <f t="shared" si="7"/>
        <v>82.570128434554334</v>
      </c>
      <c r="I10" s="401">
        <f t="shared" si="7"/>
        <v>840.91157116243505</v>
      </c>
      <c r="J10" s="437">
        <f t="shared" si="5"/>
        <v>56.636159299999996</v>
      </c>
      <c r="K10" s="438">
        <f t="shared" si="6"/>
        <v>56.636159299999996</v>
      </c>
    </row>
    <row r="11" spans="2:11" x14ac:dyDescent="0.45">
      <c r="B11" s="38" t="s">
        <v>509</v>
      </c>
      <c r="C11" s="401">
        <f>Costos!C75</f>
        <v>3667.202416666667</v>
      </c>
      <c r="D11" s="401"/>
      <c r="E11" s="401">
        <f>$C$11*E4</f>
        <v>2783.4099987791033</v>
      </c>
      <c r="F11" s="401">
        <f t="shared" ref="F11:I11" si="8">$C$11*F4</f>
        <v>126.45718640009865</v>
      </c>
      <c r="G11" s="401">
        <f t="shared" si="8"/>
        <v>39.14151007622101</v>
      </c>
      <c r="H11" s="401">
        <f t="shared" si="8"/>
        <v>57.206822419092241</v>
      </c>
      <c r="I11" s="401">
        <f t="shared" si="8"/>
        <v>582.60632305759736</v>
      </c>
      <c r="J11" s="437">
        <f t="shared" si="5"/>
        <v>39.239065858333333</v>
      </c>
      <c r="K11" s="438">
        <f t="shared" si="6"/>
        <v>39.239065858333333</v>
      </c>
    </row>
    <row r="12" spans="2:11" x14ac:dyDescent="0.45">
      <c r="B12" s="38" t="s">
        <v>510</v>
      </c>
      <c r="C12" s="401">
        <f>Costos!C70</f>
        <v>1308</v>
      </c>
      <c r="D12" s="401"/>
      <c r="E12" s="401">
        <f>$C$12*E4</f>
        <v>992.77320004394812</v>
      </c>
      <c r="F12" s="401">
        <f t="shared" ref="F12:I12" si="9">$C$12*F4</f>
        <v>45.104136891815244</v>
      </c>
      <c r="G12" s="401">
        <f t="shared" si="9"/>
        <v>13.960804276038052</v>
      </c>
      <c r="H12" s="401">
        <f t="shared" si="9"/>
        <v>20.404252403440228</v>
      </c>
      <c r="I12" s="401">
        <f t="shared" si="9"/>
        <v>207.80120210872025</v>
      </c>
      <c r="J12" s="437">
        <f t="shared" si="5"/>
        <v>13.9956</v>
      </c>
      <c r="K12" s="438">
        <f t="shared" si="6"/>
        <v>13.9956</v>
      </c>
    </row>
    <row r="13" spans="2:11" x14ac:dyDescent="0.45">
      <c r="B13" s="38" t="s">
        <v>356</v>
      </c>
      <c r="C13" s="401">
        <f>Costos!C76</f>
        <v>1920</v>
      </c>
      <c r="D13" s="401"/>
      <c r="E13" s="401">
        <f>$C$13*E4</f>
        <v>1457.2817615324009</v>
      </c>
      <c r="F13" s="401">
        <f t="shared" ref="F13:I13" si="10">$C$13*F4</f>
        <v>66.207907364132467</v>
      </c>
      <c r="G13" s="401">
        <f t="shared" si="10"/>
        <v>20.492923707945764</v>
      </c>
      <c r="H13" s="401">
        <f t="shared" si="10"/>
        <v>29.951196188536116</v>
      </c>
      <c r="I13" s="401">
        <f t="shared" si="10"/>
        <v>305.0292874990389</v>
      </c>
      <c r="J13" s="437">
        <f t="shared" si="5"/>
        <v>20.544</v>
      </c>
      <c r="K13" s="438">
        <f t="shared" si="6"/>
        <v>20.544</v>
      </c>
    </row>
    <row r="14" spans="2:11" x14ac:dyDescent="0.45">
      <c r="B14" s="38" t="s">
        <v>180</v>
      </c>
      <c r="C14" s="401">
        <f>SUM(C8:C11)</f>
        <v>36326.261416666668</v>
      </c>
      <c r="D14" s="400">
        <f>D7</f>
        <v>62845.837999999996</v>
      </c>
      <c r="E14" s="401">
        <f>SUM(E8:E13)</f>
        <v>30021.720704892232</v>
      </c>
      <c r="F14" s="401">
        <f t="shared" ref="F14:K14" si="11">SUM(F8:F13)</f>
        <v>1363.9608727767427</v>
      </c>
      <c r="G14" s="401">
        <f t="shared" si="11"/>
        <v>422.17836538327748</v>
      </c>
      <c r="H14" s="401">
        <f t="shared" si="11"/>
        <v>617.02991863709769</v>
      </c>
      <c r="I14" s="401">
        <f t="shared" si="11"/>
        <v>6283.9625924357088</v>
      </c>
      <c r="J14" s="401">
        <f t="shared" si="11"/>
        <v>423.23059715833324</v>
      </c>
      <c r="K14" s="401">
        <f t="shared" si="11"/>
        <v>423.23059715833324</v>
      </c>
    </row>
    <row r="15" spans="2:11" x14ac:dyDescent="0.45">
      <c r="B15" s="38"/>
      <c r="C15" s="401"/>
      <c r="D15" s="400"/>
      <c r="E15" s="396" t="s">
        <v>495</v>
      </c>
      <c r="F15" s="396" t="s">
        <v>496</v>
      </c>
      <c r="G15" s="396" t="s">
        <v>497</v>
      </c>
      <c r="H15" s="396" t="s">
        <v>498</v>
      </c>
      <c r="I15" s="396" t="s">
        <v>499</v>
      </c>
      <c r="J15" s="407" t="s">
        <v>500</v>
      </c>
      <c r="K15" s="408" t="s">
        <v>501</v>
      </c>
    </row>
    <row r="16" spans="2:11" x14ac:dyDescent="0.45">
      <c r="B16" s="38" t="s">
        <v>511</v>
      </c>
      <c r="C16" s="38"/>
      <c r="D16" s="38"/>
      <c r="E16" s="72">
        <f>E7/E17</f>
        <v>1.4096951314512383</v>
      </c>
      <c r="F16" s="72">
        <f t="shared" ref="F16:I16" si="12">F7/F17</f>
        <v>1.4493920199239219</v>
      </c>
      <c r="G16" s="72">
        <f t="shared" si="12"/>
        <v>1.4493920199239219</v>
      </c>
      <c r="H16" s="72">
        <f t="shared" si="12"/>
        <v>1.4493920199239219</v>
      </c>
      <c r="I16" s="72">
        <f t="shared" si="12"/>
        <v>1.4493920199239221</v>
      </c>
      <c r="J16" s="72">
        <f>J7/J17</f>
        <v>12.09209833871879</v>
      </c>
      <c r="K16" s="72">
        <f>K7/K17</f>
        <v>4.7424002387529187</v>
      </c>
    </row>
    <row r="17" spans="2:50" x14ac:dyDescent="0.45">
      <c r="B17" s="38" t="s">
        <v>512</v>
      </c>
      <c r="C17" s="38"/>
      <c r="D17" s="38"/>
      <c r="E17" s="409">
        <f>MP!C13</f>
        <v>33837.137999999999</v>
      </c>
      <c r="F17" s="409">
        <f>MP!C14</f>
        <v>1495.2</v>
      </c>
      <c r="G17" s="409">
        <f>MP!C15</f>
        <v>462.8</v>
      </c>
      <c r="H17" s="409">
        <f>MP!C16</f>
        <v>676.4</v>
      </c>
      <c r="I17" s="409">
        <f>MP!C17</f>
        <v>6888.6</v>
      </c>
      <c r="J17" s="409">
        <f>Deman!J11</f>
        <v>834.28379999999993</v>
      </c>
      <c r="K17" s="38">
        <f>Deman!J18</f>
        <v>1549.3842</v>
      </c>
    </row>
    <row r="18" spans="2:50" x14ac:dyDescent="0.45">
      <c r="B18" s="38" t="s">
        <v>513</v>
      </c>
      <c r="C18" s="38"/>
      <c r="D18" s="38"/>
      <c r="E18" s="402">
        <f>'Pre Ing'!I5</f>
        <v>4</v>
      </c>
      <c r="F18" s="402">
        <f>'Pre Ing'!I6</f>
        <v>4</v>
      </c>
      <c r="G18" s="402">
        <f>'Pre Ing'!I7</f>
        <v>13</v>
      </c>
      <c r="H18" s="402">
        <f>'Pre Ing'!I8</f>
        <v>23.5</v>
      </c>
      <c r="I18" s="402">
        <f>'Pre Ing'!I9</f>
        <v>3.7</v>
      </c>
      <c r="J18" s="402">
        <f>'Pre Ing'!I14</f>
        <v>14</v>
      </c>
      <c r="K18" s="441">
        <f>'Pre Ing'!I17</f>
        <v>13</v>
      </c>
    </row>
    <row r="19" spans="2:50" x14ac:dyDescent="0.45">
      <c r="B19" s="38" t="s">
        <v>514</v>
      </c>
      <c r="C19" s="38"/>
      <c r="D19" s="38"/>
      <c r="E19" s="422">
        <f>E14/(E18-E16)</f>
        <v>11590.033694262458</v>
      </c>
      <c r="F19" s="422">
        <f>F14/(F18-F16)</f>
        <v>534.75911760303484</v>
      </c>
      <c r="G19" s="422">
        <f t="shared" ref="G19:I19" si="13">G14/(G18-G16)</f>
        <v>36.550315456251575</v>
      </c>
      <c r="H19" s="422">
        <f t="shared" si="13"/>
        <v>27.982444710577493</v>
      </c>
      <c r="I19" s="422">
        <f t="shared" si="13"/>
        <v>2792.1177957537011</v>
      </c>
      <c r="J19" s="102">
        <f>J14/(J18-J16)</f>
        <v>221.83040444239768</v>
      </c>
      <c r="K19" s="102">
        <f>K14/(K18-K16)</f>
        <v>51.253464613840279</v>
      </c>
    </row>
    <row r="21" spans="2:50" x14ac:dyDescent="0.45">
      <c r="L21" t="s">
        <v>515</v>
      </c>
      <c r="T21" t="s">
        <v>516</v>
      </c>
      <c r="AB21" t="s">
        <v>517</v>
      </c>
      <c r="AJ21" t="s">
        <v>518</v>
      </c>
      <c r="AR21" t="s">
        <v>519</v>
      </c>
    </row>
    <row r="22" spans="2:50" ht="42" x14ac:dyDescent="0.45">
      <c r="F22" s="172"/>
      <c r="G22" s="172"/>
      <c r="H22" s="172"/>
      <c r="L22" s="403" t="s">
        <v>520</v>
      </c>
      <c r="M22" s="38" t="s">
        <v>521</v>
      </c>
      <c r="N22" s="403" t="s">
        <v>522</v>
      </c>
      <c r="O22" s="38" t="s">
        <v>523</v>
      </c>
      <c r="P22" s="403" t="s">
        <v>524</v>
      </c>
      <c r="Q22" s="403" t="s">
        <v>525</v>
      </c>
      <c r="R22" s="403" t="s">
        <v>526</v>
      </c>
      <c r="S22" s="363"/>
      <c r="T22" s="403" t="s">
        <v>520</v>
      </c>
      <c r="U22" s="38" t="s">
        <v>521</v>
      </c>
      <c r="V22" s="403" t="s">
        <v>522</v>
      </c>
      <c r="W22" s="38" t="s">
        <v>523</v>
      </c>
      <c r="X22" s="403" t="s">
        <v>524</v>
      </c>
      <c r="Y22" s="403" t="s">
        <v>525</v>
      </c>
      <c r="Z22" s="403" t="s">
        <v>526</v>
      </c>
      <c r="AA22" s="363"/>
      <c r="AB22" s="403" t="s">
        <v>520</v>
      </c>
      <c r="AC22" s="38" t="s">
        <v>521</v>
      </c>
      <c r="AD22" s="403" t="s">
        <v>522</v>
      </c>
      <c r="AE22" s="38" t="s">
        <v>523</v>
      </c>
      <c r="AF22" s="403" t="s">
        <v>524</v>
      </c>
      <c r="AG22" s="403" t="s">
        <v>525</v>
      </c>
      <c r="AH22" s="403" t="s">
        <v>526</v>
      </c>
      <c r="AI22" s="363"/>
      <c r="AJ22" s="403" t="s">
        <v>520</v>
      </c>
      <c r="AK22" s="38" t="s">
        <v>521</v>
      </c>
      <c r="AL22" s="403" t="s">
        <v>522</v>
      </c>
      <c r="AM22" s="38" t="s">
        <v>523</v>
      </c>
      <c r="AN22" s="403" t="s">
        <v>524</v>
      </c>
      <c r="AO22" s="403" t="s">
        <v>525</v>
      </c>
      <c r="AP22" s="403" t="s">
        <v>526</v>
      </c>
      <c r="AQ22" s="363"/>
      <c r="AR22" s="403" t="s">
        <v>520</v>
      </c>
      <c r="AS22" s="38" t="s">
        <v>521</v>
      </c>
      <c r="AT22" s="403" t="s">
        <v>522</v>
      </c>
      <c r="AU22" s="38" t="s">
        <v>523</v>
      </c>
      <c r="AV22" s="403" t="s">
        <v>524</v>
      </c>
      <c r="AW22" s="403" t="s">
        <v>525</v>
      </c>
      <c r="AX22" s="403" t="s">
        <v>526</v>
      </c>
    </row>
    <row r="23" spans="2:50" x14ac:dyDescent="0.45">
      <c r="L23" s="404">
        <f>E18</f>
        <v>4</v>
      </c>
      <c r="M23" s="52">
        <v>0</v>
      </c>
      <c r="N23" s="53">
        <f>L23*M23</f>
        <v>0</v>
      </c>
      <c r="O23" s="405">
        <f>E14</f>
        <v>30021.720704892232</v>
      </c>
      <c r="P23" s="405">
        <f>E16</f>
        <v>1.4096951314512383</v>
      </c>
      <c r="Q23" s="53">
        <f>P23*M23</f>
        <v>0</v>
      </c>
      <c r="R23" s="405">
        <f>O23+Q23</f>
        <v>30021.720704892232</v>
      </c>
      <c r="S23" s="363"/>
      <c r="T23" s="404">
        <f>'Pre Ing'!I6</f>
        <v>4</v>
      </c>
      <c r="U23" s="52">
        <v>0</v>
      </c>
      <c r="V23" s="53">
        <f>T23*U23</f>
        <v>0</v>
      </c>
      <c r="W23" s="405">
        <f>F14</f>
        <v>1363.9608727767427</v>
      </c>
      <c r="X23" s="405">
        <f>F16</f>
        <v>1.4493920199239219</v>
      </c>
      <c r="Y23" s="53">
        <f>X23*U23</f>
        <v>0</v>
      </c>
      <c r="Z23" s="405">
        <f>W23+Y23</f>
        <v>1363.9608727767427</v>
      </c>
      <c r="AA23" s="363"/>
      <c r="AB23" s="404">
        <f>'Pre Ing'!I7</f>
        <v>13</v>
      </c>
      <c r="AC23" s="52">
        <v>0</v>
      </c>
      <c r="AD23" s="53">
        <f>AB23*AC23</f>
        <v>0</v>
      </c>
      <c r="AE23" s="405">
        <f>G14</f>
        <v>422.17836538327748</v>
      </c>
      <c r="AF23" s="405">
        <f>G16</f>
        <v>1.4493920199239219</v>
      </c>
      <c r="AG23" s="53">
        <f>AF23*AC23</f>
        <v>0</v>
      </c>
      <c r="AH23" s="405">
        <f>AE23+AG23</f>
        <v>422.17836538327748</v>
      </c>
      <c r="AI23" s="363"/>
      <c r="AJ23" s="404">
        <f>'Pre Ing'!I8</f>
        <v>23.5</v>
      </c>
      <c r="AK23" s="52">
        <v>0</v>
      </c>
      <c r="AL23" s="53">
        <f>AJ23*AK23</f>
        <v>0</v>
      </c>
      <c r="AM23" s="405">
        <f>H14</f>
        <v>617.02991863709769</v>
      </c>
      <c r="AN23" s="405">
        <f>H16</f>
        <v>1.4493920199239219</v>
      </c>
      <c r="AO23" s="53">
        <f>AK23*AN23</f>
        <v>0</v>
      </c>
      <c r="AP23" s="405">
        <f>AM23+AO23</f>
        <v>617.02991863709769</v>
      </c>
      <c r="AQ23" s="363"/>
      <c r="AR23" s="404">
        <f>'Pre Ing'!I9</f>
        <v>3.7</v>
      </c>
      <c r="AS23" s="52">
        <v>0</v>
      </c>
      <c r="AT23" s="53">
        <f>AR23*AS23</f>
        <v>0</v>
      </c>
      <c r="AU23" s="405">
        <f>I14</f>
        <v>6283.9625924357088</v>
      </c>
      <c r="AV23" s="405">
        <f>I16</f>
        <v>1.4493920199239221</v>
      </c>
      <c r="AW23" s="53">
        <f>AV23*AS23</f>
        <v>0</v>
      </c>
      <c r="AX23" s="405">
        <f>AU23+AW23</f>
        <v>6283.9625924357088</v>
      </c>
    </row>
    <row r="24" spans="2:50" x14ac:dyDescent="0.45">
      <c r="L24" s="404">
        <f>L23</f>
        <v>4</v>
      </c>
      <c r="M24" s="52">
        <v>6000</v>
      </c>
      <c r="N24" s="53">
        <f t="shared" ref="N24:N29" si="14">L24*M24</f>
        <v>24000</v>
      </c>
      <c r="O24" s="405">
        <f>O23</f>
        <v>30021.720704892232</v>
      </c>
      <c r="P24" s="405">
        <f>P23</f>
        <v>1.4096951314512383</v>
      </c>
      <c r="Q24" s="53">
        <f t="shared" ref="Q24:Q29" si="15">P24*M24</f>
        <v>8458.1707887074299</v>
      </c>
      <c r="R24" s="405">
        <f t="shared" ref="R24:R29" si="16">O24+Q24</f>
        <v>38479.891493599658</v>
      </c>
      <c r="S24" s="363"/>
      <c r="T24" s="404">
        <f>T23</f>
        <v>4</v>
      </c>
      <c r="U24" s="52">
        <v>200</v>
      </c>
      <c r="V24" s="53">
        <f t="shared" ref="V24:V29" si="17">T24*U24</f>
        <v>800</v>
      </c>
      <c r="W24" s="405">
        <f>W23</f>
        <v>1363.9608727767427</v>
      </c>
      <c r="X24" s="405">
        <f>X23</f>
        <v>1.4493920199239219</v>
      </c>
      <c r="Y24" s="53">
        <f t="shared" ref="Y24:Y29" si="18">X24*U24</f>
        <v>289.87840398478437</v>
      </c>
      <c r="Z24" s="405">
        <f t="shared" ref="Z24:Z29" si="19">W24+Y24</f>
        <v>1653.8392767615271</v>
      </c>
      <c r="AA24" s="363"/>
      <c r="AB24" s="404">
        <f>AB23</f>
        <v>13</v>
      </c>
      <c r="AC24" s="52">
        <v>10</v>
      </c>
      <c r="AD24" s="53">
        <f t="shared" ref="AD24:AD29" si="20">AB24*AC24</f>
        <v>130</v>
      </c>
      <c r="AE24" s="405">
        <f>AE23</f>
        <v>422.17836538327748</v>
      </c>
      <c r="AF24" s="405">
        <f>AF23</f>
        <v>1.4493920199239219</v>
      </c>
      <c r="AG24" s="53">
        <f t="shared" ref="AG24:AG29" si="21">AF24*AC24</f>
        <v>14.493920199239218</v>
      </c>
      <c r="AH24" s="405">
        <f t="shared" ref="AH24:AH29" si="22">AE24+AG24</f>
        <v>436.67228558251668</v>
      </c>
      <c r="AI24" s="363"/>
      <c r="AJ24" s="404">
        <f>AJ23</f>
        <v>23.5</v>
      </c>
      <c r="AK24" s="52">
        <v>10</v>
      </c>
      <c r="AL24" s="53">
        <f t="shared" ref="AL24:AL29" si="23">AJ24*AK24</f>
        <v>235</v>
      </c>
      <c r="AM24" s="405">
        <f>AM23</f>
        <v>617.02991863709769</v>
      </c>
      <c r="AN24" s="405">
        <f>AN23</f>
        <v>1.4493920199239219</v>
      </c>
      <c r="AO24" s="53">
        <f t="shared" ref="AO24:AO29" si="24">AK24*AN24</f>
        <v>14.493920199239218</v>
      </c>
      <c r="AP24" s="405">
        <f t="shared" ref="AP24:AP29" si="25">AM24+AO24</f>
        <v>631.52383883633695</v>
      </c>
      <c r="AQ24" s="363"/>
      <c r="AR24" s="404">
        <f>AR23</f>
        <v>3.7</v>
      </c>
      <c r="AS24" s="52">
        <v>1000</v>
      </c>
      <c r="AT24" s="53">
        <f t="shared" ref="AT24:AT29" si="26">AR24*AS24</f>
        <v>3700</v>
      </c>
      <c r="AU24" s="405">
        <f>AU23</f>
        <v>6283.9625924357088</v>
      </c>
      <c r="AV24" s="405">
        <f>AV23</f>
        <v>1.4493920199239221</v>
      </c>
      <c r="AW24" s="53">
        <f t="shared" ref="AW24:AW29" si="27">AV24*AS24</f>
        <v>1449.3920199239221</v>
      </c>
      <c r="AX24" s="405">
        <f t="shared" ref="AX24:AX29" si="28">AU24+AW24</f>
        <v>7733.3546123596307</v>
      </c>
    </row>
    <row r="25" spans="2:50" x14ac:dyDescent="0.45">
      <c r="L25" s="404">
        <f>L24</f>
        <v>4</v>
      </c>
      <c r="M25" s="52">
        <v>8000</v>
      </c>
      <c r="N25" s="53">
        <f t="shared" si="14"/>
        <v>32000</v>
      </c>
      <c r="O25" s="405">
        <f>O23</f>
        <v>30021.720704892232</v>
      </c>
      <c r="P25" s="405">
        <f>P24</f>
        <v>1.4096951314512383</v>
      </c>
      <c r="Q25" s="53">
        <f t="shared" si="15"/>
        <v>11277.561051609906</v>
      </c>
      <c r="R25" s="405">
        <f t="shared" si="16"/>
        <v>41299.28175650214</v>
      </c>
      <c r="S25" s="363"/>
      <c r="T25" s="404">
        <f>T24</f>
        <v>4</v>
      </c>
      <c r="U25" s="52">
        <v>400</v>
      </c>
      <c r="V25" s="53">
        <f t="shared" si="17"/>
        <v>1600</v>
      </c>
      <c r="W25" s="405">
        <f>W23</f>
        <v>1363.9608727767427</v>
      </c>
      <c r="X25" s="405">
        <f>X24</f>
        <v>1.4493920199239219</v>
      </c>
      <c r="Y25" s="53">
        <f t="shared" si="18"/>
        <v>579.75680796956874</v>
      </c>
      <c r="Z25" s="405">
        <f t="shared" si="19"/>
        <v>1943.7176807463115</v>
      </c>
      <c r="AA25" s="363"/>
      <c r="AB25" s="404">
        <f>AB23</f>
        <v>13</v>
      </c>
      <c r="AC25" s="52">
        <v>20</v>
      </c>
      <c r="AD25" s="53">
        <f t="shared" si="20"/>
        <v>260</v>
      </c>
      <c r="AE25" s="405">
        <f>AE23</f>
        <v>422.17836538327748</v>
      </c>
      <c r="AF25" s="405">
        <f>AF24</f>
        <v>1.4493920199239219</v>
      </c>
      <c r="AG25" s="53">
        <f t="shared" si="21"/>
        <v>28.987840398478436</v>
      </c>
      <c r="AH25" s="405">
        <f t="shared" si="22"/>
        <v>451.16620578175593</v>
      </c>
      <c r="AI25" s="363"/>
      <c r="AJ25" s="404">
        <f>AJ23</f>
        <v>23.5</v>
      </c>
      <c r="AK25" s="52">
        <v>20</v>
      </c>
      <c r="AL25" s="53">
        <f t="shared" si="23"/>
        <v>470</v>
      </c>
      <c r="AM25" s="405">
        <f>AM23</f>
        <v>617.02991863709769</v>
      </c>
      <c r="AN25" s="405">
        <f>AN24</f>
        <v>1.4493920199239219</v>
      </c>
      <c r="AO25" s="53">
        <f t="shared" si="24"/>
        <v>28.987840398478436</v>
      </c>
      <c r="AP25" s="405">
        <f t="shared" si="25"/>
        <v>646.01775903557609</v>
      </c>
      <c r="AQ25" s="363"/>
      <c r="AR25" s="404">
        <f>AR24</f>
        <v>3.7</v>
      </c>
      <c r="AS25" s="52">
        <v>1500</v>
      </c>
      <c r="AT25" s="53">
        <f t="shared" si="26"/>
        <v>5550</v>
      </c>
      <c r="AU25" s="405">
        <f>AU23</f>
        <v>6283.9625924357088</v>
      </c>
      <c r="AV25" s="405">
        <f>AV24</f>
        <v>1.4493920199239221</v>
      </c>
      <c r="AW25" s="53">
        <f t="shared" si="27"/>
        <v>2174.0880298858833</v>
      </c>
      <c r="AX25" s="405">
        <f t="shared" si="28"/>
        <v>8458.0506223215925</v>
      </c>
    </row>
    <row r="26" spans="2:50" x14ac:dyDescent="0.45">
      <c r="L26" s="404">
        <f>L23</f>
        <v>4</v>
      </c>
      <c r="M26" s="406">
        <f>E19</f>
        <v>11590.033694262458</v>
      </c>
      <c r="N26" s="53">
        <f t="shared" si="14"/>
        <v>46360.134777049832</v>
      </c>
      <c r="O26" s="405">
        <f>O23</f>
        <v>30021.720704892232</v>
      </c>
      <c r="P26" s="405">
        <f>P23</f>
        <v>1.4096951314512383</v>
      </c>
      <c r="Q26" s="53">
        <f t="shared" si="15"/>
        <v>16338.414072157597</v>
      </c>
      <c r="R26" s="405">
        <f t="shared" si="16"/>
        <v>46360.134777049825</v>
      </c>
      <c r="S26" s="363"/>
      <c r="T26" s="404">
        <f>T23</f>
        <v>4</v>
      </c>
      <c r="U26" s="52">
        <f>F19</f>
        <v>534.75911760303484</v>
      </c>
      <c r="V26" s="53">
        <f t="shared" si="17"/>
        <v>2139.0364704121394</v>
      </c>
      <c r="W26" s="405">
        <f>W23</f>
        <v>1363.9608727767427</v>
      </c>
      <c r="X26" s="405">
        <f>X23</f>
        <v>1.4493920199239219</v>
      </c>
      <c r="Y26" s="53">
        <f t="shared" si="18"/>
        <v>775.07559763539678</v>
      </c>
      <c r="Z26" s="405">
        <f t="shared" si="19"/>
        <v>2139.0364704121394</v>
      </c>
      <c r="AA26" s="363"/>
      <c r="AB26" s="404">
        <f>AB23</f>
        <v>13</v>
      </c>
      <c r="AC26" s="406">
        <f>G19</f>
        <v>36.550315456251575</v>
      </c>
      <c r="AD26" s="53">
        <f t="shared" si="20"/>
        <v>475.15410093127048</v>
      </c>
      <c r="AE26" s="405">
        <f>AE23</f>
        <v>422.17836538327748</v>
      </c>
      <c r="AF26" s="405">
        <f>AF23</f>
        <v>1.4493920199239219</v>
      </c>
      <c r="AG26" s="53">
        <f t="shared" si="21"/>
        <v>52.975735547993011</v>
      </c>
      <c r="AH26" s="405">
        <f t="shared" si="22"/>
        <v>475.15410093127048</v>
      </c>
      <c r="AI26" s="363"/>
      <c r="AJ26" s="404">
        <f>AJ23</f>
        <v>23.5</v>
      </c>
      <c r="AK26" s="406">
        <f>H19</f>
        <v>27.982444710577493</v>
      </c>
      <c r="AL26" s="53">
        <f t="shared" si="23"/>
        <v>657.58745069857105</v>
      </c>
      <c r="AM26" s="405">
        <f>AM23</f>
        <v>617.02991863709769</v>
      </c>
      <c r="AN26" s="405">
        <f>AN23</f>
        <v>1.4493920199239219</v>
      </c>
      <c r="AO26" s="53">
        <f t="shared" si="24"/>
        <v>40.557532061473374</v>
      </c>
      <c r="AP26" s="405">
        <f t="shared" si="25"/>
        <v>657.58745069857105</v>
      </c>
      <c r="AQ26" s="363"/>
      <c r="AR26" s="404">
        <f>AR23</f>
        <v>3.7</v>
      </c>
      <c r="AS26" s="405">
        <f>I19</f>
        <v>2792.1177957537011</v>
      </c>
      <c r="AT26" s="53">
        <f t="shared" si="26"/>
        <v>10330.835844288695</v>
      </c>
      <c r="AU26" s="405">
        <f>AU23</f>
        <v>6283.9625924357088</v>
      </c>
      <c r="AV26" s="405">
        <f>AV23</f>
        <v>1.4493920199239221</v>
      </c>
      <c r="AW26" s="53">
        <f t="shared" si="27"/>
        <v>4046.873251852986</v>
      </c>
      <c r="AX26" s="405">
        <f t="shared" si="28"/>
        <v>10330.835844288695</v>
      </c>
    </row>
    <row r="27" spans="2:50" x14ac:dyDescent="0.45">
      <c r="L27" s="404">
        <f>L23</f>
        <v>4</v>
      </c>
      <c r="M27" s="406">
        <v>12000</v>
      </c>
      <c r="N27" s="53">
        <f t="shared" si="14"/>
        <v>48000</v>
      </c>
      <c r="O27" s="405">
        <f>O23</f>
        <v>30021.720704892232</v>
      </c>
      <c r="P27" s="405">
        <f>P23</f>
        <v>1.4096951314512383</v>
      </c>
      <c r="Q27" s="53">
        <f t="shared" si="15"/>
        <v>16916.34157741486</v>
      </c>
      <c r="R27" s="405">
        <f t="shared" si="16"/>
        <v>46938.062282307088</v>
      </c>
      <c r="S27" s="363"/>
      <c r="T27" s="404">
        <f>T23</f>
        <v>4</v>
      </c>
      <c r="U27" s="406">
        <v>600</v>
      </c>
      <c r="V27" s="53">
        <f t="shared" si="17"/>
        <v>2400</v>
      </c>
      <c r="W27" s="405">
        <f>W23</f>
        <v>1363.9608727767427</v>
      </c>
      <c r="X27" s="405">
        <f>X23</f>
        <v>1.4493920199239219</v>
      </c>
      <c r="Y27" s="53">
        <f t="shared" si="18"/>
        <v>869.63521195435317</v>
      </c>
      <c r="Z27" s="405">
        <f t="shared" si="19"/>
        <v>2233.5960847310957</v>
      </c>
      <c r="AA27" s="363"/>
      <c r="AB27" s="404">
        <f>AB23</f>
        <v>13</v>
      </c>
      <c r="AC27" s="406">
        <v>60</v>
      </c>
      <c r="AD27" s="53">
        <f t="shared" si="20"/>
        <v>780</v>
      </c>
      <c r="AE27" s="405">
        <f>AE23</f>
        <v>422.17836538327748</v>
      </c>
      <c r="AF27" s="405">
        <f>AF23</f>
        <v>1.4493920199239219</v>
      </c>
      <c r="AG27" s="53">
        <f t="shared" si="21"/>
        <v>86.963521195435305</v>
      </c>
      <c r="AH27" s="405">
        <f t="shared" si="22"/>
        <v>509.14188657871279</v>
      </c>
      <c r="AI27" s="363"/>
      <c r="AJ27" s="404">
        <f>AJ23</f>
        <v>23.5</v>
      </c>
      <c r="AK27" s="406">
        <v>60</v>
      </c>
      <c r="AL27" s="53">
        <f t="shared" si="23"/>
        <v>1410</v>
      </c>
      <c r="AM27" s="405">
        <f>AM23</f>
        <v>617.02991863709769</v>
      </c>
      <c r="AN27" s="405">
        <f>AN23</f>
        <v>1.4493920199239219</v>
      </c>
      <c r="AO27" s="53">
        <f t="shared" si="24"/>
        <v>86.963521195435305</v>
      </c>
      <c r="AP27" s="405">
        <f t="shared" si="25"/>
        <v>703.993439832533</v>
      </c>
      <c r="AQ27" s="363"/>
      <c r="AR27" s="404">
        <f>AR23</f>
        <v>3.7</v>
      </c>
      <c r="AS27" s="406">
        <v>3000</v>
      </c>
      <c r="AT27" s="53">
        <f t="shared" si="26"/>
        <v>11100</v>
      </c>
      <c r="AU27" s="405">
        <f>AU23</f>
        <v>6283.9625924357088</v>
      </c>
      <c r="AV27" s="405">
        <f>AV23</f>
        <v>1.4493920199239221</v>
      </c>
      <c r="AW27" s="53">
        <f t="shared" si="27"/>
        <v>4348.1760597717666</v>
      </c>
      <c r="AX27" s="405">
        <f t="shared" si="28"/>
        <v>10632.138652207475</v>
      </c>
    </row>
    <row r="28" spans="2:50" x14ac:dyDescent="0.45">
      <c r="L28" s="404">
        <f>L23</f>
        <v>4</v>
      </c>
      <c r="M28" s="52">
        <v>16000</v>
      </c>
      <c r="N28" s="53">
        <f t="shared" si="14"/>
        <v>64000</v>
      </c>
      <c r="O28" s="405">
        <f>O23</f>
        <v>30021.720704892232</v>
      </c>
      <c r="P28" s="405">
        <f>P23</f>
        <v>1.4096951314512383</v>
      </c>
      <c r="Q28" s="53">
        <f t="shared" si="15"/>
        <v>22555.122103219812</v>
      </c>
      <c r="R28" s="405">
        <f t="shared" si="16"/>
        <v>52576.842808112044</v>
      </c>
      <c r="S28" s="363"/>
      <c r="T28" s="404">
        <f>T23</f>
        <v>4</v>
      </c>
      <c r="U28" s="52">
        <v>800</v>
      </c>
      <c r="V28" s="53">
        <f t="shared" si="17"/>
        <v>3200</v>
      </c>
      <c r="W28" s="405">
        <f>W23</f>
        <v>1363.9608727767427</v>
      </c>
      <c r="X28" s="405">
        <f>X23</f>
        <v>1.4493920199239219</v>
      </c>
      <c r="Y28" s="53">
        <f t="shared" si="18"/>
        <v>1159.5136159391375</v>
      </c>
      <c r="Z28" s="405">
        <f t="shared" si="19"/>
        <v>2523.4744887158804</v>
      </c>
      <c r="AA28" s="363"/>
      <c r="AB28" s="404">
        <f>AB23</f>
        <v>13</v>
      </c>
      <c r="AC28" s="52">
        <v>80</v>
      </c>
      <c r="AD28" s="53">
        <f t="shared" si="20"/>
        <v>1040</v>
      </c>
      <c r="AE28" s="405">
        <f>AE23</f>
        <v>422.17836538327748</v>
      </c>
      <c r="AF28" s="405">
        <f>AF23</f>
        <v>1.4493920199239219</v>
      </c>
      <c r="AG28" s="53">
        <f t="shared" si="21"/>
        <v>115.95136159391375</v>
      </c>
      <c r="AH28" s="405">
        <f t="shared" si="22"/>
        <v>538.12972697719124</v>
      </c>
      <c r="AI28" s="363"/>
      <c r="AJ28" s="404">
        <f>AJ23</f>
        <v>23.5</v>
      </c>
      <c r="AK28" s="52">
        <v>80</v>
      </c>
      <c r="AL28" s="53">
        <f t="shared" si="23"/>
        <v>1880</v>
      </c>
      <c r="AM28" s="405">
        <f>AM23</f>
        <v>617.02991863709769</v>
      </c>
      <c r="AN28" s="405">
        <f>AN23</f>
        <v>1.4493920199239219</v>
      </c>
      <c r="AO28" s="53">
        <f t="shared" si="24"/>
        <v>115.95136159391375</v>
      </c>
      <c r="AP28" s="405">
        <f t="shared" si="25"/>
        <v>732.9812802310114</v>
      </c>
      <c r="AQ28" s="363"/>
      <c r="AR28" s="404">
        <f>AR23</f>
        <v>3.7</v>
      </c>
      <c r="AS28" s="52">
        <v>4000</v>
      </c>
      <c r="AT28" s="53">
        <f t="shared" si="26"/>
        <v>14800</v>
      </c>
      <c r="AU28" s="405">
        <f>AU23</f>
        <v>6283.9625924357088</v>
      </c>
      <c r="AV28" s="405">
        <f>AV23</f>
        <v>1.4493920199239221</v>
      </c>
      <c r="AW28" s="53">
        <f t="shared" si="27"/>
        <v>5797.5680796956885</v>
      </c>
      <c r="AX28" s="405">
        <f t="shared" si="28"/>
        <v>12081.530672131397</v>
      </c>
    </row>
    <row r="29" spans="2:50" x14ac:dyDescent="0.45">
      <c r="L29" s="404">
        <f>L23</f>
        <v>4</v>
      </c>
      <c r="M29" s="52">
        <v>18000</v>
      </c>
      <c r="N29" s="53">
        <f t="shared" si="14"/>
        <v>72000</v>
      </c>
      <c r="O29" s="405">
        <f>O23</f>
        <v>30021.720704892232</v>
      </c>
      <c r="P29" s="405">
        <f>P23</f>
        <v>1.4096951314512383</v>
      </c>
      <c r="Q29" s="53">
        <f t="shared" si="15"/>
        <v>25374.51236612229</v>
      </c>
      <c r="R29" s="405">
        <f t="shared" si="16"/>
        <v>55396.233071014518</v>
      </c>
      <c r="S29" s="363"/>
      <c r="T29" s="404">
        <f>T23</f>
        <v>4</v>
      </c>
      <c r="U29" s="52">
        <v>1000</v>
      </c>
      <c r="V29" s="53">
        <f t="shared" si="17"/>
        <v>4000</v>
      </c>
      <c r="W29" s="405">
        <f>W23</f>
        <v>1363.9608727767427</v>
      </c>
      <c r="X29" s="405">
        <f>X23</f>
        <v>1.4493920199239219</v>
      </c>
      <c r="Y29" s="53">
        <f t="shared" si="18"/>
        <v>1449.3920199239219</v>
      </c>
      <c r="Z29" s="405">
        <f t="shared" si="19"/>
        <v>2813.3528927006646</v>
      </c>
      <c r="AA29" s="363"/>
      <c r="AB29" s="404">
        <f>AB23</f>
        <v>13</v>
      </c>
      <c r="AC29" s="52">
        <v>100</v>
      </c>
      <c r="AD29" s="53">
        <f t="shared" si="20"/>
        <v>1300</v>
      </c>
      <c r="AE29" s="405">
        <f>AE23</f>
        <v>422.17836538327748</v>
      </c>
      <c r="AF29" s="405">
        <f>AF23</f>
        <v>1.4493920199239219</v>
      </c>
      <c r="AG29" s="53">
        <f t="shared" si="21"/>
        <v>144.93920199239219</v>
      </c>
      <c r="AH29" s="405">
        <f t="shared" si="22"/>
        <v>567.11756737566964</v>
      </c>
      <c r="AI29" s="363"/>
      <c r="AJ29" s="404">
        <f>AJ23</f>
        <v>23.5</v>
      </c>
      <c r="AK29" s="52">
        <v>100</v>
      </c>
      <c r="AL29" s="53">
        <f t="shared" si="23"/>
        <v>2350</v>
      </c>
      <c r="AM29" s="405">
        <f>AM23</f>
        <v>617.02991863709769</v>
      </c>
      <c r="AN29" s="405">
        <f>AN23</f>
        <v>1.4493920199239219</v>
      </c>
      <c r="AO29" s="53">
        <f t="shared" si="24"/>
        <v>144.93920199239219</v>
      </c>
      <c r="AP29" s="405">
        <f t="shared" si="25"/>
        <v>761.96912062948991</v>
      </c>
      <c r="AQ29" s="363"/>
      <c r="AR29" s="404">
        <f>AR23</f>
        <v>3.7</v>
      </c>
      <c r="AS29" s="52">
        <v>5000</v>
      </c>
      <c r="AT29" s="53">
        <f t="shared" si="26"/>
        <v>18500</v>
      </c>
      <c r="AU29" s="405">
        <f>AU23</f>
        <v>6283.9625924357088</v>
      </c>
      <c r="AV29" s="405">
        <f>AV23</f>
        <v>1.4493920199239221</v>
      </c>
      <c r="AW29" s="53">
        <f t="shared" si="27"/>
        <v>7246.9600996196104</v>
      </c>
      <c r="AX29" s="405">
        <f t="shared" si="28"/>
        <v>13530.922692055319</v>
      </c>
    </row>
    <row r="46" spans="2:26" ht="15" customHeight="1" x14ac:dyDescent="0.45">
      <c r="B46" s="23"/>
      <c r="C46" s="23"/>
      <c r="D46" s="23"/>
      <c r="E46" s="555"/>
      <c r="F46" s="23"/>
    </row>
    <row r="47" spans="2:26" ht="15" customHeight="1" x14ac:dyDescent="0.45">
      <c r="B47" s="556"/>
      <c r="C47" s="555"/>
      <c r="D47" s="555"/>
      <c r="E47" s="555"/>
      <c r="F47" s="420"/>
      <c r="G47" s="23"/>
      <c r="H47" s="23"/>
      <c r="I47" s="23"/>
      <c r="K47" t="s">
        <v>527</v>
      </c>
      <c r="T47" t="s">
        <v>501</v>
      </c>
    </row>
    <row r="48" spans="2:26" ht="32.25" customHeight="1" x14ac:dyDescent="0.45">
      <c r="B48" s="556"/>
      <c r="C48" s="555"/>
      <c r="D48" s="555"/>
      <c r="E48" s="411"/>
      <c r="F48" s="412"/>
      <c r="G48" s="23"/>
      <c r="H48" s="23"/>
      <c r="I48" s="23"/>
      <c r="K48" s="403" t="s">
        <v>520</v>
      </c>
      <c r="L48" s="38" t="s">
        <v>521</v>
      </c>
      <c r="M48" s="403" t="s">
        <v>522</v>
      </c>
      <c r="N48" s="38" t="s">
        <v>523</v>
      </c>
      <c r="O48" s="403" t="s">
        <v>524</v>
      </c>
      <c r="P48" s="403" t="s">
        <v>525</v>
      </c>
      <c r="Q48" s="403" t="s">
        <v>526</v>
      </c>
      <c r="T48" s="403" t="s">
        <v>520</v>
      </c>
      <c r="U48" s="38" t="s">
        <v>521</v>
      </c>
      <c r="V48" s="403" t="s">
        <v>522</v>
      </c>
      <c r="W48" s="38" t="s">
        <v>523</v>
      </c>
      <c r="X48" s="403" t="s">
        <v>524</v>
      </c>
      <c r="Y48" s="403" t="s">
        <v>525</v>
      </c>
      <c r="Z48" s="403" t="s">
        <v>526</v>
      </c>
    </row>
    <row r="49" spans="2:26" x14ac:dyDescent="0.45">
      <c r="B49" s="414"/>
      <c r="C49" s="414"/>
      <c r="D49" s="414"/>
      <c r="E49" s="419"/>
      <c r="F49" s="419"/>
      <c r="G49" s="391"/>
      <c r="H49" s="391"/>
      <c r="I49" s="391"/>
      <c r="K49" s="404">
        <f>J18</f>
        <v>14</v>
      </c>
      <c r="L49" s="52">
        <v>0</v>
      </c>
      <c r="M49" s="53">
        <f>K49*L49</f>
        <v>0</v>
      </c>
      <c r="N49" s="405">
        <f>J14</f>
        <v>423.23059715833324</v>
      </c>
      <c r="O49" s="405">
        <f>J16</f>
        <v>12.09209833871879</v>
      </c>
      <c r="P49" s="53">
        <f>O49*L49</f>
        <v>0</v>
      </c>
      <c r="Q49" s="405">
        <f>N49+P49</f>
        <v>423.23059715833324</v>
      </c>
      <c r="T49" s="404">
        <f>K18</f>
        <v>13</v>
      </c>
      <c r="U49" s="52">
        <v>0</v>
      </c>
      <c r="V49" s="53">
        <f>T49*U49</f>
        <v>0</v>
      </c>
      <c r="W49" s="405">
        <f>K14</f>
        <v>423.23059715833324</v>
      </c>
      <c r="X49" s="405">
        <f>K16</f>
        <v>4.7424002387529187</v>
      </c>
      <c r="Y49" s="53">
        <f>X49*U49</f>
        <v>0</v>
      </c>
      <c r="Z49" s="405">
        <f>W49+Y49</f>
        <v>423.23059715833324</v>
      </c>
    </row>
    <row r="50" spans="2:26" x14ac:dyDescent="0.45">
      <c r="B50" s="414"/>
      <c r="C50" s="413"/>
      <c r="D50" s="413"/>
      <c r="E50" s="413"/>
      <c r="F50" s="413"/>
      <c r="G50" s="392"/>
      <c r="H50" s="392"/>
      <c r="I50" s="392"/>
      <c r="K50" s="404">
        <f>K49</f>
        <v>14</v>
      </c>
      <c r="L50" s="52">
        <v>50</v>
      </c>
      <c r="M50" s="53">
        <f t="shared" ref="M50:M55" si="29">K50*L50</f>
        <v>700</v>
      </c>
      <c r="N50" s="405">
        <f>N49</f>
        <v>423.23059715833324</v>
      </c>
      <c r="O50" s="405">
        <f>O49</f>
        <v>12.09209833871879</v>
      </c>
      <c r="P50" s="53">
        <f t="shared" ref="P50:P55" si="30">O50*L50</f>
        <v>604.60491693593951</v>
      </c>
      <c r="Q50" s="405">
        <f t="shared" ref="Q50:Q55" si="31">N50+P50</f>
        <v>1027.8355140942726</v>
      </c>
      <c r="T50" s="404">
        <f>T49</f>
        <v>13</v>
      </c>
      <c r="U50" s="52">
        <v>10</v>
      </c>
      <c r="V50" s="53">
        <f t="shared" ref="V50:V55" si="32">T50*U50</f>
        <v>130</v>
      </c>
      <c r="W50" s="405">
        <f>W49</f>
        <v>423.23059715833324</v>
      </c>
      <c r="X50" s="405">
        <f>X49</f>
        <v>4.7424002387529187</v>
      </c>
      <c r="Y50" s="53">
        <f t="shared" ref="Y50:Y55" si="33">X50*U50</f>
        <v>47.424002387529185</v>
      </c>
      <c r="Z50" s="405">
        <f t="shared" ref="Z50:Z55" si="34">W50+Y50</f>
        <v>470.65459954586242</v>
      </c>
    </row>
    <row r="51" spans="2:26" x14ac:dyDescent="0.45">
      <c r="B51" s="414"/>
      <c r="C51" s="413"/>
      <c r="D51" s="413"/>
      <c r="E51" s="413"/>
      <c r="F51" s="413"/>
      <c r="G51" s="392"/>
      <c r="H51" s="392"/>
      <c r="I51" s="392"/>
      <c r="K51" s="404">
        <f>K50</f>
        <v>14</v>
      </c>
      <c r="L51" s="52">
        <v>70</v>
      </c>
      <c r="M51" s="53">
        <f t="shared" si="29"/>
        <v>980</v>
      </c>
      <c r="N51" s="405">
        <f>N49</f>
        <v>423.23059715833324</v>
      </c>
      <c r="O51" s="405">
        <f>O50</f>
        <v>12.09209833871879</v>
      </c>
      <c r="P51" s="53">
        <f t="shared" si="30"/>
        <v>846.44688371031532</v>
      </c>
      <c r="Q51" s="405">
        <f t="shared" si="31"/>
        <v>1269.6774808686487</v>
      </c>
      <c r="T51" s="404">
        <f>T50</f>
        <v>13</v>
      </c>
      <c r="U51" s="52">
        <v>20</v>
      </c>
      <c r="V51" s="53">
        <f t="shared" si="32"/>
        <v>260</v>
      </c>
      <c r="W51" s="405">
        <f>W49</f>
        <v>423.23059715833324</v>
      </c>
      <c r="X51" s="405">
        <f>X50</f>
        <v>4.7424002387529187</v>
      </c>
      <c r="Y51" s="53">
        <f t="shared" si="33"/>
        <v>94.848004775058371</v>
      </c>
      <c r="Z51" s="405">
        <f t="shared" si="34"/>
        <v>518.07860193339161</v>
      </c>
    </row>
    <row r="52" spans="2:26" x14ac:dyDescent="0.45">
      <c r="B52" s="414"/>
      <c r="C52" s="413"/>
      <c r="D52" s="413"/>
      <c r="E52" s="413"/>
      <c r="F52" s="413"/>
      <c r="G52" s="392"/>
      <c r="H52" s="392"/>
      <c r="I52" s="392"/>
      <c r="K52" s="404">
        <f>K49</f>
        <v>14</v>
      </c>
      <c r="L52" s="406">
        <f>J19</f>
        <v>221.83040444239768</v>
      </c>
      <c r="M52" s="53">
        <f t="shared" si="29"/>
        <v>3105.6256621935677</v>
      </c>
      <c r="N52" s="405">
        <f>N49</f>
        <v>423.23059715833324</v>
      </c>
      <c r="O52" s="405">
        <f>O49</f>
        <v>12.09209833871879</v>
      </c>
      <c r="P52" s="53">
        <f t="shared" si="30"/>
        <v>2682.3950650352344</v>
      </c>
      <c r="Q52" s="405">
        <f t="shared" si="31"/>
        <v>3105.6256621935677</v>
      </c>
      <c r="T52" s="404">
        <f>T49</f>
        <v>13</v>
      </c>
      <c r="U52" s="406">
        <f>K19</f>
        <v>51.253464613840279</v>
      </c>
      <c r="V52" s="53">
        <f t="shared" si="32"/>
        <v>666.29503997992367</v>
      </c>
      <c r="W52" s="405">
        <f>W49</f>
        <v>423.23059715833324</v>
      </c>
      <c r="X52" s="405">
        <f>X49</f>
        <v>4.7424002387529187</v>
      </c>
      <c r="Y52" s="53">
        <f t="shared" si="33"/>
        <v>243.0644428215904</v>
      </c>
      <c r="Z52" s="405">
        <f t="shared" si="34"/>
        <v>666.29503997992367</v>
      </c>
    </row>
    <row r="53" spans="2:26" x14ac:dyDescent="0.45">
      <c r="B53" s="414"/>
      <c r="C53" s="413"/>
      <c r="D53" s="413"/>
      <c r="E53" s="413"/>
      <c r="F53" s="413"/>
      <c r="G53" s="392"/>
      <c r="H53" s="392"/>
      <c r="I53" s="392"/>
      <c r="K53" s="404">
        <f>K49</f>
        <v>14</v>
      </c>
      <c r="L53" s="406">
        <v>120</v>
      </c>
      <c r="M53" s="53">
        <f t="shared" si="29"/>
        <v>1680</v>
      </c>
      <c r="N53" s="405">
        <f>N49</f>
        <v>423.23059715833324</v>
      </c>
      <c r="O53" s="405">
        <f>O49</f>
        <v>12.09209833871879</v>
      </c>
      <c r="P53" s="53">
        <f t="shared" si="30"/>
        <v>1451.0518006462548</v>
      </c>
      <c r="Q53" s="405">
        <f t="shared" si="31"/>
        <v>1874.2823978045881</v>
      </c>
      <c r="T53" s="404">
        <f>T49</f>
        <v>13</v>
      </c>
      <c r="U53" s="406">
        <v>60</v>
      </c>
      <c r="V53" s="53">
        <f t="shared" si="32"/>
        <v>780</v>
      </c>
      <c r="W53" s="405">
        <f>W49</f>
        <v>423.23059715833324</v>
      </c>
      <c r="X53" s="405">
        <f>X49</f>
        <v>4.7424002387529187</v>
      </c>
      <c r="Y53" s="53">
        <f t="shared" si="33"/>
        <v>284.54401432517511</v>
      </c>
      <c r="Z53" s="405">
        <f t="shared" si="34"/>
        <v>707.77461148350835</v>
      </c>
    </row>
    <row r="54" spans="2:26" x14ac:dyDescent="0.45">
      <c r="B54" s="414"/>
      <c r="C54" s="413"/>
      <c r="D54" s="413"/>
      <c r="E54" s="413"/>
      <c r="F54" s="413"/>
      <c r="G54" s="392"/>
      <c r="H54" s="392"/>
      <c r="I54" s="392"/>
      <c r="K54" s="404">
        <f>K49</f>
        <v>14</v>
      </c>
      <c r="L54" s="52">
        <v>160</v>
      </c>
      <c r="M54" s="53">
        <f t="shared" si="29"/>
        <v>2240</v>
      </c>
      <c r="N54" s="405">
        <f>N49</f>
        <v>423.23059715833324</v>
      </c>
      <c r="O54" s="405">
        <f>O49</f>
        <v>12.09209833871879</v>
      </c>
      <c r="P54" s="53">
        <f t="shared" si="30"/>
        <v>1934.7357341950064</v>
      </c>
      <c r="Q54" s="405">
        <f t="shared" si="31"/>
        <v>2357.9663313533397</v>
      </c>
      <c r="T54" s="404">
        <f>T49</f>
        <v>13</v>
      </c>
      <c r="U54" s="52">
        <v>80</v>
      </c>
      <c r="V54" s="53">
        <f t="shared" si="32"/>
        <v>1040</v>
      </c>
      <c r="W54" s="405">
        <f>W49</f>
        <v>423.23059715833324</v>
      </c>
      <c r="X54" s="405">
        <f>X49</f>
        <v>4.7424002387529187</v>
      </c>
      <c r="Y54" s="53">
        <f t="shared" si="33"/>
        <v>379.39201910023348</v>
      </c>
      <c r="Z54" s="405">
        <f t="shared" si="34"/>
        <v>802.62261625856672</v>
      </c>
    </row>
    <row r="55" spans="2:26" x14ac:dyDescent="0.45">
      <c r="B55" s="414"/>
      <c r="C55" s="413"/>
      <c r="D55" s="413"/>
      <c r="E55" s="413"/>
      <c r="F55" s="413"/>
      <c r="G55" s="392"/>
      <c r="H55" s="392"/>
      <c r="I55" s="392"/>
      <c r="K55" s="404">
        <f>K49</f>
        <v>14</v>
      </c>
      <c r="L55" s="52">
        <v>180</v>
      </c>
      <c r="M55" s="53">
        <f t="shared" si="29"/>
        <v>2520</v>
      </c>
      <c r="N55" s="405">
        <f>N49</f>
        <v>423.23059715833324</v>
      </c>
      <c r="O55" s="405">
        <f>O49</f>
        <v>12.09209833871879</v>
      </c>
      <c r="P55" s="53">
        <f t="shared" si="30"/>
        <v>2176.577700969382</v>
      </c>
      <c r="Q55" s="405">
        <f t="shared" si="31"/>
        <v>2599.8082981277153</v>
      </c>
      <c r="T55" s="404">
        <f>T49</f>
        <v>13</v>
      </c>
      <c r="U55" s="52">
        <v>100</v>
      </c>
      <c r="V55" s="53">
        <f t="shared" si="32"/>
        <v>1300</v>
      </c>
      <c r="W55" s="405">
        <f>W49</f>
        <v>423.23059715833324</v>
      </c>
      <c r="X55" s="405">
        <f>X49</f>
        <v>4.7424002387529187</v>
      </c>
      <c r="Y55" s="53">
        <f t="shared" si="33"/>
        <v>474.24002387529185</v>
      </c>
      <c r="Z55" s="405">
        <f t="shared" si="34"/>
        <v>897.47062103362509</v>
      </c>
    </row>
    <row r="56" spans="2:26" x14ac:dyDescent="0.45">
      <c r="B56" s="414"/>
      <c r="C56" s="413"/>
      <c r="D56" s="413"/>
      <c r="E56" s="413"/>
      <c r="F56" s="413"/>
      <c r="G56" s="392"/>
      <c r="H56" s="392"/>
      <c r="I56" s="392"/>
    </row>
    <row r="57" spans="2:26" x14ac:dyDescent="0.45">
      <c r="B57" s="414"/>
      <c r="C57" s="413"/>
      <c r="D57" s="413"/>
      <c r="E57" s="413"/>
      <c r="F57" s="413"/>
      <c r="G57" s="392"/>
      <c r="H57" s="392"/>
      <c r="I57" s="392"/>
    </row>
    <row r="58" spans="2:26" x14ac:dyDescent="0.45">
      <c r="B58" s="414"/>
      <c r="C58" s="413"/>
      <c r="D58" s="413"/>
      <c r="E58" s="413"/>
      <c r="F58" s="413"/>
      <c r="G58" s="392"/>
      <c r="H58" s="392"/>
      <c r="I58" s="392"/>
    </row>
    <row r="59" spans="2:26" x14ac:dyDescent="0.45">
      <c r="B59" s="414"/>
      <c r="C59" s="413"/>
      <c r="D59" s="413"/>
      <c r="E59" s="413"/>
      <c r="F59" s="413"/>
      <c r="G59" s="392"/>
      <c r="H59" s="392"/>
      <c r="I59" s="392"/>
    </row>
    <row r="60" spans="2:26" x14ac:dyDescent="0.45">
      <c r="B60" s="414"/>
      <c r="C60" s="413"/>
      <c r="D60" s="413"/>
      <c r="E60" s="411"/>
      <c r="F60" s="412"/>
      <c r="G60" s="23"/>
      <c r="H60" s="23"/>
      <c r="I60" s="23"/>
    </row>
    <row r="61" spans="2:26" x14ac:dyDescent="0.45">
      <c r="B61" s="414"/>
      <c r="C61" s="414"/>
      <c r="D61" s="414"/>
      <c r="E61" s="421"/>
      <c r="F61" s="416"/>
      <c r="G61" s="393"/>
      <c r="H61" s="393"/>
      <c r="I61" s="393"/>
    </row>
    <row r="62" spans="2:26" x14ac:dyDescent="0.45">
      <c r="B62" s="414"/>
      <c r="C62" s="414"/>
      <c r="D62" s="414"/>
      <c r="E62" s="444"/>
      <c r="F62" s="417"/>
      <c r="G62" s="394"/>
      <c r="H62" s="394"/>
      <c r="I62" s="394"/>
    </row>
    <row r="63" spans="2:26" x14ac:dyDescent="0.45">
      <c r="B63" s="414"/>
      <c r="C63" s="414"/>
      <c r="D63" s="414"/>
      <c r="E63" s="421"/>
      <c r="F63" s="421"/>
      <c r="G63" s="393"/>
      <c r="H63" s="393"/>
      <c r="I63" s="393"/>
    </row>
    <row r="64" spans="2:26" x14ac:dyDescent="0.45">
      <c r="B64" s="414"/>
      <c r="C64" s="414"/>
      <c r="D64" s="414"/>
      <c r="E64" s="445"/>
      <c r="F64" s="418"/>
      <c r="G64" s="395"/>
      <c r="H64" s="395"/>
      <c r="I64" s="395"/>
    </row>
    <row r="66" spans="2:6" ht="15" customHeight="1" x14ac:dyDescent="0.45">
      <c r="B66" s="23"/>
      <c r="C66" s="23"/>
      <c r="D66" s="23"/>
      <c r="E66" s="555"/>
    </row>
    <row r="67" spans="2:6" x14ac:dyDescent="0.45">
      <c r="B67" s="556"/>
      <c r="C67" s="555"/>
      <c r="D67" s="555"/>
      <c r="E67" s="555"/>
      <c r="F67" s="414"/>
    </row>
    <row r="68" spans="2:6" x14ac:dyDescent="0.45">
      <c r="B68" s="556"/>
      <c r="C68" s="555"/>
      <c r="D68" s="555"/>
      <c r="E68" s="412"/>
    </row>
    <row r="69" spans="2:6" x14ac:dyDescent="0.45">
      <c r="B69" s="414"/>
      <c r="C69" s="414"/>
      <c r="D69" s="414"/>
      <c r="E69" s="419"/>
    </row>
    <row r="70" spans="2:6" x14ac:dyDescent="0.45">
      <c r="B70" s="414"/>
      <c r="C70" s="413"/>
      <c r="D70" s="413"/>
      <c r="E70" s="413"/>
    </row>
    <row r="71" spans="2:6" x14ac:dyDescent="0.45">
      <c r="B71" s="414"/>
      <c r="C71" s="413"/>
      <c r="D71" s="413"/>
      <c r="E71" s="413"/>
    </row>
    <row r="72" spans="2:6" x14ac:dyDescent="0.45">
      <c r="B72" s="414"/>
      <c r="C72" s="413"/>
      <c r="D72" s="413"/>
      <c r="E72" s="413"/>
    </row>
    <row r="73" spans="2:6" x14ac:dyDescent="0.45">
      <c r="B73" s="414"/>
      <c r="C73" s="413"/>
      <c r="D73" s="413"/>
      <c r="E73" s="413"/>
    </row>
    <row r="74" spans="2:6" x14ac:dyDescent="0.45">
      <c r="B74" s="414"/>
      <c r="C74" s="413"/>
      <c r="D74" s="413"/>
      <c r="E74" s="413"/>
    </row>
    <row r="75" spans="2:6" x14ac:dyDescent="0.45">
      <c r="B75" s="414"/>
      <c r="C75" s="413"/>
      <c r="D75" s="413"/>
      <c r="E75" s="413"/>
    </row>
    <row r="76" spans="2:6" x14ac:dyDescent="0.45">
      <c r="B76" s="414"/>
      <c r="C76" s="413"/>
      <c r="D76" s="413"/>
      <c r="E76" s="413"/>
    </row>
    <row r="77" spans="2:6" x14ac:dyDescent="0.45">
      <c r="B77" s="414"/>
      <c r="C77" s="413"/>
      <c r="D77" s="413"/>
      <c r="E77" s="413"/>
    </row>
    <row r="78" spans="2:6" x14ac:dyDescent="0.45">
      <c r="B78" s="414"/>
      <c r="C78" s="413"/>
      <c r="D78" s="413"/>
      <c r="E78" s="413"/>
    </row>
    <row r="79" spans="2:6" x14ac:dyDescent="0.45">
      <c r="B79" s="414"/>
      <c r="C79" s="413"/>
      <c r="D79" s="413"/>
      <c r="E79" s="413"/>
    </row>
    <row r="80" spans="2:6" x14ac:dyDescent="0.45">
      <c r="B80" s="414"/>
      <c r="C80" s="413"/>
      <c r="D80" s="413"/>
      <c r="E80" s="412"/>
    </row>
    <row r="81" spans="2:5" x14ac:dyDescent="0.45">
      <c r="B81" s="414"/>
      <c r="C81" s="414"/>
      <c r="D81" s="414"/>
      <c r="E81" s="421"/>
    </row>
    <row r="82" spans="2:5" x14ac:dyDescent="0.45">
      <c r="B82" s="414"/>
      <c r="C82" s="414"/>
      <c r="D82" s="414"/>
      <c r="E82" s="444"/>
    </row>
    <row r="83" spans="2:5" x14ac:dyDescent="0.45">
      <c r="B83" s="414"/>
      <c r="C83" s="414"/>
      <c r="D83" s="414"/>
      <c r="E83" s="421"/>
    </row>
    <row r="84" spans="2:5" x14ac:dyDescent="0.45">
      <c r="B84" s="414"/>
      <c r="C84" s="414"/>
      <c r="D84" s="414"/>
      <c r="E84" s="446"/>
    </row>
  </sheetData>
  <mergeCells count="9">
    <mergeCell ref="E66:E67"/>
    <mergeCell ref="B67:B68"/>
    <mergeCell ref="C67:D68"/>
    <mergeCell ref="E2:K2"/>
    <mergeCell ref="C47:D48"/>
    <mergeCell ref="B47:B48"/>
    <mergeCell ref="E46:E47"/>
    <mergeCell ref="B2:B3"/>
    <mergeCell ref="C2:D3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C1:J17"/>
  <sheetViews>
    <sheetView topLeftCell="B1" workbookViewId="0">
      <selection activeCell="F16" sqref="F16"/>
    </sheetView>
  </sheetViews>
  <sheetFormatPr baseColWidth="10" defaultColWidth="11.3984375" defaultRowHeight="14.25" x14ac:dyDescent="0.45"/>
  <cols>
    <col min="3" max="3" width="18" bestFit="1" customWidth="1"/>
    <col min="4" max="4" width="17" customWidth="1"/>
    <col min="5" max="5" width="14" customWidth="1"/>
    <col min="6" max="6" width="14.3984375" bestFit="1" customWidth="1"/>
    <col min="7" max="7" width="12" bestFit="1" customWidth="1"/>
    <col min="9" max="10" width="14" bestFit="1" customWidth="1"/>
  </cols>
  <sheetData>
    <row r="1" spans="3:10" ht="14.65" thickBot="1" x14ac:dyDescent="0.5"/>
    <row r="2" spans="3:10" ht="15" customHeight="1" x14ac:dyDescent="0.45">
      <c r="C2" s="551" t="s">
        <v>458</v>
      </c>
      <c r="D2" s="551" t="s">
        <v>459</v>
      </c>
      <c r="E2" s="553" t="s">
        <v>528</v>
      </c>
      <c r="F2" s="553" t="s">
        <v>529</v>
      </c>
      <c r="H2" s="551" t="s">
        <v>458</v>
      </c>
      <c r="I2" s="551" t="s">
        <v>459</v>
      </c>
      <c r="J2" s="553" t="s">
        <v>529</v>
      </c>
    </row>
    <row r="3" spans="3:10" ht="15.75" customHeight="1" thickBot="1" x14ac:dyDescent="0.5">
      <c r="C3" s="552"/>
      <c r="D3" s="552"/>
      <c r="E3" s="554"/>
      <c r="F3" s="554"/>
      <c r="H3" s="552"/>
      <c r="I3" s="552"/>
      <c r="J3" s="554"/>
    </row>
    <row r="4" spans="3:10" ht="15.75" thickBot="1" x14ac:dyDescent="0.5">
      <c r="C4" s="269">
        <v>0</v>
      </c>
      <c r="D4" s="210">
        <f>'FLC F W'!C25</f>
        <v>-73344.04833333334</v>
      </c>
      <c r="E4" s="210"/>
      <c r="F4" s="210"/>
      <c r="H4" s="269">
        <v>0</v>
      </c>
      <c r="I4" s="210">
        <f>VAN!C4</f>
        <v>-73344.04833333334</v>
      </c>
      <c r="J4" s="210">
        <f>I4</f>
        <v>-73344.04833333334</v>
      </c>
    </row>
    <row r="5" spans="3:10" ht="15.75" thickBot="1" x14ac:dyDescent="0.5">
      <c r="C5" s="269">
        <v>1</v>
      </c>
      <c r="D5" s="210"/>
      <c r="E5" s="210">
        <f>'FLC F W'!D25</f>
        <v>25415.665926816677</v>
      </c>
      <c r="F5" s="210">
        <f>E5</f>
        <v>25415.665926816677</v>
      </c>
      <c r="H5" s="269">
        <v>1</v>
      </c>
      <c r="I5" s="210">
        <f>VAN!C5</f>
        <v>22849.176041243431</v>
      </c>
      <c r="J5" s="210">
        <f>J4+I5</f>
        <v>-50494.872292089909</v>
      </c>
    </row>
    <row r="6" spans="3:10" ht="15.75" thickBot="1" x14ac:dyDescent="0.5">
      <c r="C6" s="269">
        <v>2</v>
      </c>
      <c r="D6" s="210"/>
      <c r="E6" s="210">
        <f>'FLC F W'!E25</f>
        <v>26335.325807584348</v>
      </c>
      <c r="F6" s="210">
        <f>F5+E6</f>
        <v>51750.991734401025</v>
      </c>
      <c r="H6" s="269">
        <v>2</v>
      </c>
      <c r="I6" s="210">
        <f>VAN!C6</f>
        <v>23768.835922011123</v>
      </c>
      <c r="J6" s="210">
        <f>J5+I6</f>
        <v>-26726.036370078786</v>
      </c>
    </row>
    <row r="7" spans="3:10" ht="15.75" thickBot="1" x14ac:dyDescent="0.5">
      <c r="C7" s="269">
        <v>3</v>
      </c>
      <c r="D7" s="210"/>
      <c r="E7" s="210">
        <f>'FLC F W'!F25</f>
        <v>27282.073712247213</v>
      </c>
      <c r="F7" s="210">
        <f>F6+E7</f>
        <v>79033.065446648237</v>
      </c>
      <c r="H7" s="269">
        <v>3</v>
      </c>
      <c r="I7" s="210">
        <f>VAN!C7</f>
        <v>24715.583826673956</v>
      </c>
      <c r="J7" s="210">
        <f>J6+I7</f>
        <v>-2010.4525434048301</v>
      </c>
    </row>
    <row r="8" spans="3:10" ht="15.75" thickBot="1" x14ac:dyDescent="0.5">
      <c r="C8" s="447">
        <v>4</v>
      </c>
      <c r="D8" s="448"/>
      <c r="E8" s="448">
        <f>'FLC F W'!G25</f>
        <v>28255.25364857672</v>
      </c>
      <c r="F8" s="448">
        <f>F7+E8</f>
        <v>107288.31909522496</v>
      </c>
      <c r="H8" s="269">
        <v>4</v>
      </c>
      <c r="I8" s="210">
        <f>VAN!C8</f>
        <v>24515.943763003506</v>
      </c>
      <c r="J8" s="210">
        <f>J7+I8</f>
        <v>22505.491219598676</v>
      </c>
    </row>
    <row r="9" spans="3:10" ht="15.75" thickBot="1" x14ac:dyDescent="0.5">
      <c r="C9" s="447">
        <v>5</v>
      </c>
      <c r="D9" s="448"/>
      <c r="E9" s="448">
        <f>'FLC F W'!H25</f>
        <v>56955.200026869585</v>
      </c>
      <c r="F9" s="448">
        <f>F8+E9</f>
        <v>164243.51912209456</v>
      </c>
      <c r="H9" s="269">
        <v>5</v>
      </c>
      <c r="I9" s="210">
        <f>VAN!C9</f>
        <v>72803.285141296379</v>
      </c>
      <c r="J9" s="210">
        <f>I9</f>
        <v>72803.285141296379</v>
      </c>
    </row>
    <row r="11" spans="3:10" x14ac:dyDescent="0.45">
      <c r="C11" t="s">
        <v>530</v>
      </c>
      <c r="D11">
        <v>3</v>
      </c>
      <c r="F11" s="206">
        <f>-F7/(-F7+F8)+C7</f>
        <v>0.20288954296365658</v>
      </c>
      <c r="G11" s="172"/>
      <c r="J11" s="298">
        <f>-J8/(-J8+J9)+H8</f>
        <v>3.5525551030203304</v>
      </c>
    </row>
    <row r="12" spans="3:10" x14ac:dyDescent="0.45">
      <c r="C12" t="s">
        <v>531</v>
      </c>
      <c r="D12" s="172">
        <f>-D4</f>
        <v>73344.04833333334</v>
      </c>
      <c r="E12" s="172"/>
      <c r="G12" s="172"/>
      <c r="J12" s="172">
        <f>-J7/(-J7+J8)+H7</f>
        <v>3.0820059208342108</v>
      </c>
    </row>
    <row r="13" spans="3:10" x14ac:dyDescent="0.45">
      <c r="C13" t="s">
        <v>532</v>
      </c>
      <c r="D13" s="172">
        <f>F7</f>
        <v>79033.065446648237</v>
      </c>
      <c r="E13" s="206"/>
    </row>
    <row r="14" spans="3:10" x14ac:dyDescent="0.45">
      <c r="C14" t="s">
        <v>533</v>
      </c>
      <c r="D14" s="172">
        <f>F8</f>
        <v>107288.31909522496</v>
      </c>
      <c r="E14" s="172"/>
    </row>
    <row r="15" spans="3:10" x14ac:dyDescent="0.45">
      <c r="C15" t="s">
        <v>534</v>
      </c>
      <c r="D15" s="298">
        <f>D11+(D12-D13)/D14</f>
        <v>2.9469744967458613</v>
      </c>
      <c r="E15" s="172"/>
    </row>
    <row r="17" spans="4:5" x14ac:dyDescent="0.45">
      <c r="D17">
        <f>0.947*12</f>
        <v>11.363999999999999</v>
      </c>
      <c r="E17" t="s">
        <v>535</v>
      </c>
    </row>
  </sheetData>
  <mergeCells count="7">
    <mergeCell ref="I2:I3"/>
    <mergeCell ref="J2:J3"/>
    <mergeCell ref="C2:C3"/>
    <mergeCell ref="D2:D3"/>
    <mergeCell ref="F2:F3"/>
    <mergeCell ref="E2:E3"/>
    <mergeCell ref="H2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3:E15"/>
  <sheetViews>
    <sheetView workbookViewId="0">
      <selection activeCell="B4" sqref="B4:E15"/>
    </sheetView>
  </sheetViews>
  <sheetFormatPr baseColWidth="10" defaultColWidth="11.3984375" defaultRowHeight="14.25" x14ac:dyDescent="0.45"/>
  <cols>
    <col min="2" max="2" width="24.59765625" customWidth="1"/>
    <col min="3" max="3" width="17.3984375" customWidth="1"/>
    <col min="4" max="4" width="25.1328125" customWidth="1"/>
    <col min="5" max="5" width="13.265625" bestFit="1" customWidth="1"/>
  </cols>
  <sheetData>
    <row r="3" spans="2:5" ht="14.65" thickBot="1" x14ac:dyDescent="0.5"/>
    <row r="4" spans="2:5" ht="15.4" x14ac:dyDescent="0.45">
      <c r="B4" s="559" t="s">
        <v>457</v>
      </c>
      <c r="C4" s="560"/>
      <c r="D4" s="560"/>
      <c r="E4" s="561"/>
    </row>
    <row r="5" spans="2:5" ht="15.4" x14ac:dyDescent="0.45">
      <c r="B5" s="562" t="s">
        <v>536</v>
      </c>
      <c r="C5" s="563"/>
      <c r="D5" s="564" t="s">
        <v>537</v>
      </c>
      <c r="E5" s="565"/>
    </row>
    <row r="6" spans="2:5" ht="15.4" x14ac:dyDescent="0.45">
      <c r="B6" s="375" t="s">
        <v>538</v>
      </c>
      <c r="C6" s="321"/>
      <c r="D6" s="376" t="s">
        <v>539</v>
      </c>
      <c r="E6" s="377"/>
    </row>
    <row r="7" spans="2:5" ht="15.4" x14ac:dyDescent="0.45">
      <c r="B7" s="333" t="s">
        <v>540</v>
      </c>
      <c r="C7" s="378">
        <f>INV!G5+INV!G6</f>
        <v>29601.258333333335</v>
      </c>
      <c r="D7" s="321" t="s">
        <v>541</v>
      </c>
      <c r="E7" s="379">
        <f>Amor!C5</f>
        <v>29337.619333333336</v>
      </c>
    </row>
    <row r="8" spans="2:5" ht="15.4" x14ac:dyDescent="0.45">
      <c r="B8" s="333" t="s">
        <v>542</v>
      </c>
      <c r="C8" s="378"/>
      <c r="D8" s="321" t="s">
        <v>543</v>
      </c>
      <c r="E8" s="379">
        <f>SUM(E7)</f>
        <v>29337.619333333336</v>
      </c>
    </row>
    <row r="9" spans="2:5" ht="15.4" x14ac:dyDescent="0.45">
      <c r="B9" s="333"/>
      <c r="C9" s="378"/>
      <c r="D9" s="321"/>
      <c r="E9" s="379"/>
    </row>
    <row r="10" spans="2:5" ht="15.4" x14ac:dyDescent="0.45">
      <c r="B10" s="375" t="s">
        <v>265</v>
      </c>
      <c r="C10" s="378">
        <f>C11+C12+C13</f>
        <v>43742.79</v>
      </c>
      <c r="D10" s="376" t="s">
        <v>544</v>
      </c>
      <c r="E10" s="379"/>
    </row>
    <row r="11" spans="2:5" ht="15.4" x14ac:dyDescent="0.45">
      <c r="B11" s="333" t="s">
        <v>545</v>
      </c>
      <c r="C11" s="378">
        <f>INV!D4</f>
        <v>21972</v>
      </c>
      <c r="D11" s="321" t="s">
        <v>546</v>
      </c>
      <c r="E11" s="379">
        <f>Amor!C6</f>
        <v>44006.429000000004</v>
      </c>
    </row>
    <row r="12" spans="2:5" ht="15.4" x14ac:dyDescent="0.45">
      <c r="B12" s="333" t="s">
        <v>547</v>
      </c>
      <c r="C12" s="378">
        <f>INV!D13</f>
        <v>12000</v>
      </c>
      <c r="D12" s="321" t="s">
        <v>548</v>
      </c>
      <c r="E12" s="379">
        <f>SUM(E11)</f>
        <v>44006.429000000004</v>
      </c>
    </row>
    <row r="13" spans="2:5" ht="15.4" x14ac:dyDescent="0.45">
      <c r="B13" s="333" t="s">
        <v>549</v>
      </c>
      <c r="C13" s="378">
        <f>INV!D5+INV!D6+INV!D7+INV!D8+INV!D9+INV!D10+INV!D11+INV!D12</f>
        <v>9770.7900000000009</v>
      </c>
      <c r="D13" s="325"/>
      <c r="E13" s="380"/>
    </row>
    <row r="14" spans="2:5" ht="15.4" x14ac:dyDescent="0.45">
      <c r="B14" s="333"/>
      <c r="C14" s="378"/>
      <c r="D14" s="325"/>
      <c r="E14" s="380"/>
    </row>
    <row r="15" spans="2:5" ht="15.75" thickBot="1" x14ac:dyDescent="0.5">
      <c r="B15" s="381" t="s">
        <v>550</v>
      </c>
      <c r="C15" s="382">
        <f>C7+C10</f>
        <v>73344.04833333334</v>
      </c>
      <c r="D15" s="383" t="s">
        <v>551</v>
      </c>
      <c r="E15" s="384">
        <f>E8+E12</f>
        <v>73344.04833333334</v>
      </c>
    </row>
  </sheetData>
  <mergeCells count="3">
    <mergeCell ref="B4:E4"/>
    <mergeCell ref="B5:C5"/>
    <mergeCell ref="D5:E5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1:H22"/>
  <sheetViews>
    <sheetView topLeftCell="A8" workbookViewId="0">
      <selection activeCell="J17" sqref="J17"/>
    </sheetView>
  </sheetViews>
  <sheetFormatPr baseColWidth="10" defaultColWidth="11.3984375" defaultRowHeight="14.25" x14ac:dyDescent="0.45"/>
  <cols>
    <col min="2" max="2" width="26.59765625" customWidth="1"/>
    <col min="3" max="3" width="16.3984375" customWidth="1"/>
    <col min="4" max="4" width="16.1328125" customWidth="1"/>
    <col min="5" max="5" width="14.73046875" customWidth="1"/>
    <col min="6" max="6" width="13.73046875" customWidth="1"/>
    <col min="7" max="7" width="13.86328125" customWidth="1"/>
    <col min="8" max="8" width="15.1328125" customWidth="1"/>
  </cols>
  <sheetData>
    <row r="1" spans="2:8" ht="14.65" thickBot="1" x14ac:dyDescent="0.5"/>
    <row r="2" spans="2:8" ht="14.65" thickBot="1" x14ac:dyDescent="0.5">
      <c r="B2" s="252"/>
      <c r="C2" s="253">
        <v>0</v>
      </c>
      <c r="D2" s="253">
        <v>1</v>
      </c>
      <c r="E2" s="253">
        <v>2</v>
      </c>
      <c r="F2" s="253">
        <v>3</v>
      </c>
      <c r="G2" s="253">
        <v>4</v>
      </c>
      <c r="H2" s="253">
        <v>5</v>
      </c>
    </row>
    <row r="3" spans="2:8" ht="14.65" thickBot="1" x14ac:dyDescent="0.5">
      <c r="B3" s="217" t="s">
        <v>416</v>
      </c>
      <c r="C3" s="254"/>
      <c r="D3" s="255">
        <f>'Pre Tot Ing'!C8</f>
        <v>220550.93979999999</v>
      </c>
      <c r="E3" s="255">
        <f>'Pre Tot Ing'!D8</f>
        <v>230696.2830308</v>
      </c>
      <c r="F3" s="255">
        <f>'Pre Tot Ing'!E8</f>
        <v>241308.3120502168</v>
      </c>
      <c r="G3" s="255">
        <f>'Pre Tot Ing'!F8</f>
        <v>252408.49440452678</v>
      </c>
      <c r="H3" s="255">
        <f>'Pre Tot Ing'!G8</f>
        <v>264019.28514713503</v>
      </c>
    </row>
    <row r="4" spans="2:8" ht="14.65" thickBot="1" x14ac:dyDescent="0.5">
      <c r="B4" s="217" t="s">
        <v>552</v>
      </c>
      <c r="C4" s="254"/>
      <c r="D4" s="254"/>
      <c r="E4" s="254"/>
      <c r="F4" s="254"/>
      <c r="G4" s="254"/>
      <c r="H4" s="257">
        <f>Depre!K11</f>
        <v>19587.394999999997</v>
      </c>
    </row>
    <row r="5" spans="2:8" ht="14.65" thickBot="1" x14ac:dyDescent="0.5">
      <c r="B5" s="217" t="s">
        <v>417</v>
      </c>
      <c r="C5" s="254"/>
      <c r="D5" s="255">
        <f>'PER YG'!C5</f>
        <v>147866.66500000001</v>
      </c>
      <c r="E5" s="255">
        <f>'PER YG'!D5</f>
        <v>154668.53159000003</v>
      </c>
      <c r="F5" s="255">
        <f>'PER YG'!E5</f>
        <v>161783.28404314001</v>
      </c>
      <c r="G5" s="255">
        <f>'PER YG'!F5</f>
        <v>169225.31510912447</v>
      </c>
      <c r="H5" s="255">
        <f>'PER YG'!G5</f>
        <v>177009.67960414421</v>
      </c>
    </row>
    <row r="6" spans="2:8" ht="14.65" thickBot="1" x14ac:dyDescent="0.5">
      <c r="B6" s="217" t="s">
        <v>418</v>
      </c>
      <c r="C6" s="254"/>
      <c r="D6" s="255">
        <f>D3-D5</f>
        <v>72684.274799999985</v>
      </c>
      <c r="E6" s="255">
        <f t="shared" ref="E6:G6" si="0">E3-E5</f>
        <v>76027.75144079997</v>
      </c>
      <c r="F6" s="255">
        <f t="shared" si="0"/>
        <v>79525.028007076791</v>
      </c>
      <c r="G6" s="255">
        <f t="shared" si="0"/>
        <v>83183.179295402311</v>
      </c>
      <c r="H6" s="255">
        <f>(H3+H4)-H5</f>
        <v>106597.00054299083</v>
      </c>
    </row>
    <row r="7" spans="2:8" ht="14.65" thickBot="1" x14ac:dyDescent="0.5">
      <c r="B7" s="217" t="s">
        <v>419</v>
      </c>
      <c r="C7" s="254"/>
      <c r="D7" s="255">
        <f>'PER YG'!C7</f>
        <v>28293.96</v>
      </c>
      <c r="E7" s="255">
        <f>'PER YG'!D7</f>
        <v>29595.48216</v>
      </c>
      <c r="F7" s="255">
        <f>'PER YG'!E7</f>
        <v>30956.874339360002</v>
      </c>
      <c r="G7" s="255">
        <f>'PER YG'!F7</f>
        <v>32380.890558970565</v>
      </c>
      <c r="H7" s="255">
        <f>'PER YG'!G7</f>
        <v>33870.411524683208</v>
      </c>
    </row>
    <row r="8" spans="2:8" ht="14.65" thickBot="1" x14ac:dyDescent="0.5">
      <c r="B8" s="217" t="s">
        <v>420</v>
      </c>
      <c r="C8" s="254"/>
      <c r="D8" s="255">
        <f>'PER YG'!C8</f>
        <v>7920</v>
      </c>
      <c r="E8" s="255">
        <f>'PER YG'!D8</f>
        <v>8284.32</v>
      </c>
      <c r="F8" s="255">
        <f>'PER YG'!E8</f>
        <v>8665.398720000001</v>
      </c>
      <c r="G8" s="255">
        <f>'PER YG'!F8</f>
        <v>9064.0070611200008</v>
      </c>
      <c r="H8" s="255">
        <f>'PER YG'!G8</f>
        <v>9480.9513859315211</v>
      </c>
    </row>
    <row r="9" spans="2:8" ht="14.65" thickBot="1" x14ac:dyDescent="0.5">
      <c r="B9" s="217" t="s">
        <v>421</v>
      </c>
      <c r="C9" s="254"/>
      <c r="D9" s="255">
        <f>'PER YG'!C9</f>
        <v>3667.202416666667</v>
      </c>
      <c r="E9" s="255">
        <f>'PER YG'!D9</f>
        <v>3095.654108053347</v>
      </c>
      <c r="F9" s="255">
        <f>'PER YG'!E9</f>
        <v>2452.6622608633616</v>
      </c>
      <c r="G9" s="255">
        <f>'PER YG'!F9</f>
        <v>1729.2964327746281</v>
      </c>
      <c r="H9" s="255">
        <f>'PER YG'!G9</f>
        <v>915.50987617480325</v>
      </c>
    </row>
    <row r="10" spans="2:8" ht="14.65" thickBot="1" x14ac:dyDescent="0.5">
      <c r="B10" s="217" t="s">
        <v>422</v>
      </c>
      <c r="C10" s="254"/>
      <c r="D10" s="256">
        <f>D6-D7-D8-D9</f>
        <v>32803.112383333319</v>
      </c>
      <c r="E10" s="256">
        <f t="shared" ref="E10:H10" si="1">E6-E7-E8-E9</f>
        <v>35052.295172746621</v>
      </c>
      <c r="F10" s="256">
        <f t="shared" si="1"/>
        <v>37450.09268685343</v>
      </c>
      <c r="G10" s="256">
        <f t="shared" si="1"/>
        <v>40008.985242537114</v>
      </c>
      <c r="H10" s="256">
        <f t="shared" si="1"/>
        <v>62330.127756201306</v>
      </c>
    </row>
    <row r="11" spans="2:8" ht="14.65" thickBot="1" x14ac:dyDescent="0.5">
      <c r="B11" s="217" t="s">
        <v>423</v>
      </c>
      <c r="C11" s="254"/>
      <c r="D11" s="255">
        <f>'PER YG'!C11</f>
        <v>4920.4668574999978</v>
      </c>
      <c r="E11" s="255">
        <f>'PER YG'!D11</f>
        <v>5257.8442759119926</v>
      </c>
      <c r="F11" s="255">
        <f>'PER YG'!E11</f>
        <v>5617.5139030280143</v>
      </c>
      <c r="G11" s="255">
        <f>'PER YG'!F11</f>
        <v>6001.3477863805665</v>
      </c>
      <c r="H11" s="255">
        <f>'PER YG'!G11</f>
        <v>6411.4099134301932</v>
      </c>
    </row>
    <row r="12" spans="2:8" ht="14.65" thickBot="1" x14ac:dyDescent="0.5">
      <c r="B12" s="217" t="s">
        <v>424</v>
      </c>
      <c r="C12" s="254"/>
      <c r="D12" s="255">
        <f>D10-D11</f>
        <v>27882.645525833323</v>
      </c>
      <c r="E12" s="255">
        <f t="shared" ref="E12:H12" si="2">E10-E11</f>
        <v>29794.450896834627</v>
      </c>
      <c r="F12" s="255">
        <f t="shared" si="2"/>
        <v>31832.578783825415</v>
      </c>
      <c r="G12" s="255">
        <f t="shared" si="2"/>
        <v>34007.637456156546</v>
      </c>
      <c r="H12" s="255">
        <f t="shared" si="2"/>
        <v>55918.717842771111</v>
      </c>
    </row>
    <row r="13" spans="2:8" ht="14.65" thickBot="1" x14ac:dyDescent="0.5">
      <c r="B13" s="217" t="s">
        <v>425</v>
      </c>
      <c r="C13" s="254"/>
      <c r="D13" s="255">
        <f>'PER YG'!C13</f>
        <v>6134.182015683331</v>
      </c>
      <c r="E13" s="255">
        <f>'PER YG'!D13</f>
        <v>6554.7791973036183</v>
      </c>
      <c r="F13" s="255">
        <f>'PER YG'!E13</f>
        <v>7003.1673324415915</v>
      </c>
      <c r="G13" s="255">
        <f>'PER YG'!F13</f>
        <v>7481.6802403544398</v>
      </c>
      <c r="H13" s="255">
        <f>'PER YG'!G13</f>
        <v>7992.8910254096409</v>
      </c>
    </row>
    <row r="14" spans="2:8" ht="14.65" thickBot="1" x14ac:dyDescent="0.5">
      <c r="B14" s="217" t="s">
        <v>426</v>
      </c>
      <c r="C14" s="254"/>
      <c r="D14" s="255">
        <f>D12-D13</f>
        <v>21748.463510149992</v>
      </c>
      <c r="E14" s="255">
        <f t="shared" ref="E14:H14" si="3">E12-E13</f>
        <v>23239.671699531009</v>
      </c>
      <c r="F14" s="255">
        <f t="shared" si="3"/>
        <v>24829.411451383821</v>
      </c>
      <c r="G14" s="255">
        <f t="shared" si="3"/>
        <v>26525.957215802107</v>
      </c>
      <c r="H14" s="255">
        <f t="shared" si="3"/>
        <v>47925.826817361471</v>
      </c>
    </row>
    <row r="15" spans="2:8" ht="14.65" thickBot="1" x14ac:dyDescent="0.5">
      <c r="B15" s="217" t="s">
        <v>553</v>
      </c>
      <c r="C15" s="254"/>
      <c r="D15" s="255">
        <f>Depre!F11</f>
        <v>5293.0990000000002</v>
      </c>
      <c r="E15" s="255">
        <f>Depre!G11</f>
        <v>5293.0990000000002</v>
      </c>
      <c r="F15" s="255">
        <f>Depre!H11</f>
        <v>5293.0990000000002</v>
      </c>
      <c r="G15" s="255">
        <f>Depre!I11</f>
        <v>4120.2790000000005</v>
      </c>
      <c r="H15" s="255">
        <f>Depre!J11</f>
        <v>4120.2790000000005</v>
      </c>
    </row>
    <row r="16" spans="2:8" ht="14.65" thickBot="1" x14ac:dyDescent="0.5">
      <c r="B16" s="217" t="s">
        <v>554</v>
      </c>
      <c r="C16" s="254"/>
      <c r="D16" s="255">
        <f>Depre!F16</f>
        <v>380</v>
      </c>
      <c r="E16" s="255">
        <f>Depre!G16</f>
        <v>380</v>
      </c>
      <c r="F16" s="255">
        <f>Depre!H16</f>
        <v>380</v>
      </c>
      <c r="G16" s="255">
        <f>Depre!I16</f>
        <v>380</v>
      </c>
      <c r="H16" s="255">
        <f>Depre!J16</f>
        <v>380</v>
      </c>
    </row>
    <row r="17" spans="2:8" ht="14.65" thickBot="1" x14ac:dyDescent="0.5">
      <c r="B17" s="217" t="s">
        <v>555</v>
      </c>
      <c r="C17" s="254"/>
      <c r="D17" s="255">
        <f>Amor!J5</f>
        <v>4572.3864689065613</v>
      </c>
      <c r="E17" s="255">
        <f>Amor!J6</f>
        <v>5143.9347775198821</v>
      </c>
      <c r="F17" s="255">
        <f>Amor!J7</f>
        <v>5786.9266247098676</v>
      </c>
      <c r="G17" s="255">
        <f>Amor!J8</f>
        <v>6510.2924527985997</v>
      </c>
      <c r="H17" s="255">
        <f>Amor!J9</f>
        <v>7324.0790093984251</v>
      </c>
    </row>
    <row r="18" spans="2:8" ht="14.65" thickBot="1" x14ac:dyDescent="0.5">
      <c r="B18" s="217" t="s">
        <v>556</v>
      </c>
      <c r="C18" s="255">
        <f>-INV!G4</f>
        <v>-43742.79</v>
      </c>
      <c r="D18" s="254"/>
      <c r="E18" s="254"/>
      <c r="F18" s="254"/>
      <c r="G18" s="254"/>
      <c r="H18" s="254"/>
    </row>
    <row r="19" spans="2:8" ht="14.65" thickBot="1" x14ac:dyDescent="0.5">
      <c r="B19" s="217" t="s">
        <v>557</v>
      </c>
      <c r="C19" s="255">
        <f>-INV!G5</f>
        <v>-1900</v>
      </c>
      <c r="D19" s="254"/>
      <c r="E19" s="254"/>
      <c r="F19" s="254"/>
      <c r="G19" s="254"/>
      <c r="H19" s="254"/>
    </row>
    <row r="20" spans="2:8" ht="14.65" thickBot="1" x14ac:dyDescent="0.5">
      <c r="B20" s="217" t="s">
        <v>558</v>
      </c>
      <c r="C20" s="255">
        <f>-INV!G6</f>
        <v>-27701.258333333335</v>
      </c>
      <c r="D20" s="254"/>
      <c r="E20" s="254"/>
      <c r="F20" s="254"/>
      <c r="G20" s="254"/>
      <c r="H20" s="254"/>
    </row>
    <row r="21" spans="2:8" ht="14.65" thickBot="1" x14ac:dyDescent="0.5">
      <c r="B21" s="217" t="s">
        <v>559</v>
      </c>
      <c r="C21" s="254"/>
      <c r="D21" s="254"/>
      <c r="E21" s="254"/>
      <c r="F21" s="254"/>
      <c r="G21" s="254"/>
      <c r="H21" s="255">
        <f>C20*-1</f>
        <v>27701.258333333335</v>
      </c>
    </row>
    <row r="22" spans="2:8" ht="14.65" thickBot="1" x14ac:dyDescent="0.5">
      <c r="B22" s="217" t="s">
        <v>459</v>
      </c>
      <c r="C22" s="255">
        <f>SUM(C18:C21)</f>
        <v>-73344.04833333334</v>
      </c>
      <c r="D22" s="255">
        <f>D14+D15+D16-D17</f>
        <v>22849.176041243431</v>
      </c>
      <c r="E22" s="255">
        <f t="shared" ref="E22:G22" si="4">E14+E15+E16-E17</f>
        <v>23768.835922011123</v>
      </c>
      <c r="F22" s="255">
        <f t="shared" si="4"/>
        <v>24715.583826673956</v>
      </c>
      <c r="G22" s="255">
        <f t="shared" si="4"/>
        <v>24515.943763003506</v>
      </c>
      <c r="H22" s="255">
        <f>H14+H15+H16-H17+H21</f>
        <v>72803.285141296379</v>
      </c>
    </row>
  </sheetData>
  <pageMargins left="0.7" right="0.7" top="0.75" bottom="0.75" header="0.3" footer="0.3"/>
  <ignoredErrors>
    <ignoredError sqref="D12:H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AJ31"/>
  <sheetViews>
    <sheetView topLeftCell="A10" workbookViewId="0">
      <selection activeCell="AD15" sqref="AD15"/>
    </sheetView>
  </sheetViews>
  <sheetFormatPr baseColWidth="10" defaultColWidth="11.3984375" defaultRowHeight="14.25" x14ac:dyDescent="0.45"/>
  <cols>
    <col min="6" max="6" width="9.86328125" customWidth="1"/>
    <col min="7" max="10" width="11.3984375" hidden="1" customWidth="1"/>
    <col min="11" max="11" width="6.59765625" customWidth="1"/>
    <col min="12" max="12" width="7.265625" hidden="1" customWidth="1"/>
    <col min="13" max="13" width="6.59765625" hidden="1" customWidth="1"/>
    <col min="14" max="15" width="11.3984375" hidden="1" customWidth="1"/>
    <col min="16" max="16" width="9" customWidth="1"/>
    <col min="17" max="17" width="2.59765625" hidden="1" customWidth="1"/>
    <col min="18" max="19" width="11.3984375" hidden="1" customWidth="1"/>
    <col min="20" max="20" width="7.1328125" customWidth="1"/>
    <col min="21" max="22" width="11.3984375" hidden="1" customWidth="1"/>
    <col min="23" max="23" width="8.3984375" customWidth="1"/>
    <col min="24" max="25" width="11.3984375" hidden="1" customWidth="1"/>
    <col min="26" max="26" width="6.86328125" customWidth="1"/>
    <col min="27" max="28" width="11.3984375" hidden="1" customWidth="1"/>
    <col min="29" max="29" width="6.1328125" customWidth="1"/>
    <col min="30" max="30" width="7" customWidth="1"/>
    <col min="31" max="31" width="7.59765625" customWidth="1"/>
    <col min="34" max="35" width="6.86328125" customWidth="1"/>
  </cols>
  <sheetData>
    <row r="3" spans="2:36" x14ac:dyDescent="0.45">
      <c r="B3" s="14" t="s">
        <v>27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6"/>
      <c r="AF3" s="1" t="s">
        <v>138</v>
      </c>
      <c r="AG3" s="1" t="s">
        <v>30</v>
      </c>
      <c r="AH3" s="1" t="s">
        <v>31</v>
      </c>
      <c r="AI3" s="1" t="s">
        <v>139</v>
      </c>
      <c r="AJ3" s="1" t="s">
        <v>33</v>
      </c>
    </row>
    <row r="4" spans="2:36" x14ac:dyDescent="0.45">
      <c r="B4" s="1"/>
      <c r="C4" s="490" t="s">
        <v>140</v>
      </c>
      <c r="D4" s="490"/>
      <c r="E4" s="490"/>
      <c r="F4" s="491" t="s">
        <v>29</v>
      </c>
      <c r="G4" s="491"/>
      <c r="H4" s="491"/>
      <c r="I4" s="491"/>
      <c r="J4" s="491"/>
      <c r="K4" s="491" t="s">
        <v>30</v>
      </c>
      <c r="L4" s="491"/>
      <c r="M4" s="491"/>
      <c r="N4" s="491"/>
      <c r="O4" s="491"/>
      <c r="P4" s="488" t="s">
        <v>31</v>
      </c>
      <c r="Q4" s="488"/>
      <c r="R4" s="488"/>
      <c r="S4" s="488"/>
      <c r="T4" s="488" t="s">
        <v>32</v>
      </c>
      <c r="U4" s="488"/>
      <c r="V4" s="488"/>
      <c r="W4" s="488" t="s">
        <v>33</v>
      </c>
      <c r="X4" s="488"/>
      <c r="Y4" s="488"/>
      <c r="Z4" s="488" t="s">
        <v>34</v>
      </c>
      <c r="AA4" s="488"/>
      <c r="AB4" s="488"/>
      <c r="AC4" s="11" t="s">
        <v>1</v>
      </c>
      <c r="AD4" s="11" t="s">
        <v>2</v>
      </c>
      <c r="AE4" s="11" t="s">
        <v>3</v>
      </c>
      <c r="AF4" s="4" t="s">
        <v>141</v>
      </c>
      <c r="AG4" s="4" t="s">
        <v>141</v>
      </c>
      <c r="AH4" s="4" t="s">
        <v>141</v>
      </c>
      <c r="AI4" s="4" t="s">
        <v>141</v>
      </c>
      <c r="AJ4" s="4" t="s">
        <v>141</v>
      </c>
    </row>
    <row r="5" spans="2:36" x14ac:dyDescent="0.45">
      <c r="B5" s="1">
        <v>1</v>
      </c>
      <c r="C5" s="489" t="s">
        <v>4</v>
      </c>
      <c r="D5" s="489"/>
      <c r="E5" s="489"/>
      <c r="F5" s="488">
        <v>100</v>
      </c>
      <c r="G5" s="488"/>
      <c r="H5" s="488"/>
      <c r="I5" s="488"/>
      <c r="J5" s="488"/>
      <c r="K5" s="488"/>
      <c r="L5" s="488"/>
      <c r="M5" s="488"/>
      <c r="N5" s="5"/>
      <c r="O5" s="5"/>
      <c r="P5" s="488"/>
      <c r="Q5" s="488"/>
      <c r="R5" s="488"/>
      <c r="S5" s="488"/>
      <c r="T5" s="488"/>
      <c r="U5" s="488"/>
      <c r="V5" s="488"/>
      <c r="W5" s="488">
        <v>10</v>
      </c>
      <c r="X5" s="488"/>
      <c r="Y5" s="488"/>
      <c r="Z5" s="488"/>
      <c r="AA5" s="488"/>
      <c r="AB5" s="488"/>
      <c r="AC5" s="11"/>
      <c r="AD5" s="11"/>
      <c r="AE5" s="11">
        <v>1</v>
      </c>
      <c r="AF5" s="1">
        <f>(F5*2)/12</f>
        <v>16.666666666666668</v>
      </c>
      <c r="AG5" s="1"/>
      <c r="AH5" s="1"/>
      <c r="AI5" s="1"/>
      <c r="AJ5" s="1">
        <f>W5*2/12</f>
        <v>1.6666666666666667</v>
      </c>
    </row>
    <row r="6" spans="2:36" x14ac:dyDescent="0.45">
      <c r="B6" s="1">
        <f>B5+1</f>
        <v>2</v>
      </c>
      <c r="C6" s="489" t="s">
        <v>5</v>
      </c>
      <c r="D6" s="489"/>
      <c r="E6" s="489"/>
      <c r="F6" s="488">
        <v>50</v>
      </c>
      <c r="G6" s="488"/>
      <c r="H6" s="488"/>
      <c r="I6" s="488"/>
      <c r="J6" s="488"/>
      <c r="K6" s="488">
        <v>10</v>
      </c>
      <c r="L6" s="488"/>
      <c r="M6" s="488"/>
      <c r="N6" s="5"/>
      <c r="O6" s="5"/>
      <c r="P6" s="488">
        <v>10</v>
      </c>
      <c r="Q6" s="488"/>
      <c r="R6" s="488"/>
      <c r="S6" s="488"/>
      <c r="T6" s="488">
        <v>10</v>
      </c>
      <c r="U6" s="488"/>
      <c r="V6" s="488"/>
      <c r="W6" s="488">
        <v>50</v>
      </c>
      <c r="X6" s="488"/>
      <c r="Y6" s="488"/>
      <c r="Z6" s="488"/>
      <c r="AA6" s="488"/>
      <c r="AB6" s="488"/>
      <c r="AC6" s="11">
        <v>1</v>
      </c>
      <c r="AD6" s="11"/>
      <c r="AE6" s="11"/>
      <c r="AF6" s="1">
        <f>F6</f>
        <v>50</v>
      </c>
      <c r="AG6" s="1">
        <f>K6</f>
        <v>10</v>
      </c>
      <c r="AH6" s="1">
        <f>P6</f>
        <v>10</v>
      </c>
      <c r="AI6" s="1">
        <f>T6</f>
        <v>10</v>
      </c>
      <c r="AJ6" s="1">
        <f>W6</f>
        <v>50</v>
      </c>
    </row>
    <row r="7" spans="2:36" x14ac:dyDescent="0.45">
      <c r="B7" s="1">
        <f t="shared" ref="B7:B28" si="0">B6+1</f>
        <v>3</v>
      </c>
      <c r="C7" s="2" t="s">
        <v>6</v>
      </c>
      <c r="D7" s="2"/>
      <c r="E7" s="2"/>
      <c r="F7" s="488">
        <v>10</v>
      </c>
      <c r="G7" s="488"/>
      <c r="H7" s="488"/>
      <c r="I7" s="488"/>
      <c r="J7" s="488"/>
      <c r="K7" s="492">
        <v>10</v>
      </c>
      <c r="L7" s="492"/>
      <c r="M7" s="492"/>
      <c r="N7" s="5"/>
      <c r="O7" s="5"/>
      <c r="P7" s="488"/>
      <c r="Q7" s="488"/>
      <c r="R7" s="488"/>
      <c r="S7" s="488"/>
      <c r="T7" s="488"/>
      <c r="U7" s="488"/>
      <c r="V7" s="488"/>
      <c r="W7" s="488"/>
      <c r="X7" s="488"/>
      <c r="Y7" s="488"/>
      <c r="Z7" s="488"/>
      <c r="AA7" s="488"/>
      <c r="AB7" s="488"/>
      <c r="AC7" s="11">
        <v>1</v>
      </c>
      <c r="AD7" s="11"/>
      <c r="AE7" s="11"/>
      <c r="AF7" s="1">
        <f>F7</f>
        <v>10</v>
      </c>
      <c r="AG7" s="1">
        <f>K7</f>
        <v>10</v>
      </c>
      <c r="AH7" s="1"/>
      <c r="AI7" s="1"/>
      <c r="AJ7" s="1"/>
    </row>
    <row r="8" spans="2:36" x14ac:dyDescent="0.45">
      <c r="B8" s="1">
        <f t="shared" si="0"/>
        <v>4</v>
      </c>
      <c r="C8" s="489" t="s">
        <v>7</v>
      </c>
      <c r="D8" s="489"/>
      <c r="E8" s="489"/>
      <c r="F8" s="488">
        <v>100</v>
      </c>
      <c r="G8" s="488"/>
      <c r="H8" s="488"/>
      <c r="I8" s="488"/>
      <c r="J8" s="488"/>
      <c r="K8" s="488"/>
      <c r="L8" s="488"/>
      <c r="M8" s="488"/>
      <c r="N8" s="5"/>
      <c r="O8" s="5"/>
      <c r="P8" s="488"/>
      <c r="Q8" s="488"/>
      <c r="R8" s="488"/>
      <c r="S8" s="488"/>
      <c r="T8" s="488"/>
      <c r="U8" s="488"/>
      <c r="V8" s="488"/>
      <c r="W8" s="488"/>
      <c r="X8" s="488"/>
      <c r="Y8" s="488"/>
      <c r="Z8" s="488"/>
      <c r="AA8" s="488"/>
      <c r="AB8" s="488"/>
      <c r="AC8" s="11"/>
      <c r="AD8" s="11">
        <v>1</v>
      </c>
      <c r="AE8" s="11"/>
      <c r="AF8" s="1">
        <f>(F8*4)/12</f>
        <v>33.333333333333336</v>
      </c>
      <c r="AG8" s="1"/>
      <c r="AH8" s="1"/>
      <c r="AI8" s="1"/>
      <c r="AJ8" s="1"/>
    </row>
    <row r="9" spans="2:36" x14ac:dyDescent="0.45">
      <c r="B9" s="1">
        <f t="shared" si="0"/>
        <v>5</v>
      </c>
      <c r="C9" s="489" t="s">
        <v>8</v>
      </c>
      <c r="D9" s="489"/>
      <c r="E9" s="489"/>
      <c r="F9" s="488">
        <v>50</v>
      </c>
      <c r="G9" s="488"/>
      <c r="H9" s="488"/>
      <c r="I9" s="488"/>
      <c r="J9" s="488"/>
      <c r="K9" s="488">
        <v>10</v>
      </c>
      <c r="L9" s="488"/>
      <c r="M9" s="488"/>
      <c r="N9" s="5"/>
      <c r="O9" s="5"/>
      <c r="P9" s="488"/>
      <c r="Q9" s="488"/>
      <c r="R9" s="488"/>
      <c r="S9" s="488"/>
      <c r="T9" s="488">
        <v>10</v>
      </c>
      <c r="U9" s="488"/>
      <c r="V9" s="488"/>
      <c r="W9" s="488">
        <v>50</v>
      </c>
      <c r="X9" s="488"/>
      <c r="Y9" s="488"/>
      <c r="Z9" s="488"/>
      <c r="AA9" s="488"/>
      <c r="AB9" s="488"/>
      <c r="AC9" s="11"/>
      <c r="AD9" s="11">
        <v>1</v>
      </c>
      <c r="AE9" s="11"/>
      <c r="AF9" s="1">
        <f>(F9*4)/12</f>
        <v>16.666666666666668</v>
      </c>
      <c r="AG9" s="1">
        <f>K9*4/12</f>
        <v>3.3333333333333335</v>
      </c>
      <c r="AH9" s="1"/>
      <c r="AI9" s="1">
        <f>T9*4/12</f>
        <v>3.3333333333333335</v>
      </c>
      <c r="AJ9" s="1">
        <f>W9*4/12</f>
        <v>16.666666666666668</v>
      </c>
    </row>
    <row r="10" spans="2:36" x14ac:dyDescent="0.45">
      <c r="B10" s="1">
        <f t="shared" si="0"/>
        <v>6</v>
      </c>
      <c r="C10" s="489" t="s">
        <v>9</v>
      </c>
      <c r="D10" s="489"/>
      <c r="E10" s="489"/>
      <c r="F10" s="488">
        <v>20</v>
      </c>
      <c r="G10" s="488"/>
      <c r="H10" s="488"/>
      <c r="I10" s="488"/>
      <c r="J10" s="488"/>
      <c r="K10" s="488"/>
      <c r="L10" s="488"/>
      <c r="M10" s="488"/>
      <c r="N10" s="5"/>
      <c r="O10" s="5"/>
      <c r="P10" s="488"/>
      <c r="Q10" s="488"/>
      <c r="R10" s="488"/>
      <c r="S10" s="488"/>
      <c r="T10" s="488"/>
      <c r="U10" s="488"/>
      <c r="V10" s="488"/>
      <c r="W10" s="488"/>
      <c r="X10" s="488"/>
      <c r="Y10" s="488"/>
      <c r="Z10" s="488"/>
      <c r="AA10" s="488"/>
      <c r="AB10" s="488"/>
      <c r="AC10" s="11"/>
      <c r="AD10" s="11"/>
      <c r="AE10" s="11">
        <v>1</v>
      </c>
      <c r="AF10" s="1">
        <f>F10*2/12</f>
        <v>3.3333333333333335</v>
      </c>
      <c r="AG10" s="1"/>
      <c r="AH10" s="1"/>
      <c r="AI10" s="1"/>
      <c r="AJ10" s="1"/>
    </row>
    <row r="11" spans="2:36" ht="15" customHeight="1" x14ac:dyDescent="0.45">
      <c r="B11" s="1">
        <f t="shared" si="0"/>
        <v>7</v>
      </c>
      <c r="C11" s="489" t="s">
        <v>10</v>
      </c>
      <c r="D11" s="489"/>
      <c r="E11" s="489"/>
      <c r="F11" s="488">
        <v>300</v>
      </c>
      <c r="G11" s="488"/>
      <c r="H11" s="488"/>
      <c r="I11" s="488"/>
      <c r="J11" s="488"/>
      <c r="K11" s="488"/>
      <c r="L11" s="488"/>
      <c r="M11" s="488"/>
      <c r="N11" s="5"/>
      <c r="O11" s="5"/>
      <c r="P11" s="488"/>
      <c r="Q11" s="488"/>
      <c r="R11" s="488"/>
      <c r="S11" s="488"/>
      <c r="T11" s="488"/>
      <c r="U11" s="488"/>
      <c r="V11" s="488"/>
      <c r="W11" s="488">
        <v>200</v>
      </c>
      <c r="X11" s="488"/>
      <c r="Y11" s="488"/>
      <c r="Z11" s="488"/>
      <c r="AA11" s="488"/>
      <c r="AB11" s="488"/>
      <c r="AC11" s="11">
        <v>1</v>
      </c>
      <c r="AD11" s="11"/>
      <c r="AE11" s="11"/>
      <c r="AF11" s="1">
        <f>F11</f>
        <v>300</v>
      </c>
      <c r="AG11" s="1"/>
      <c r="AH11" s="1"/>
      <c r="AI11" s="1"/>
      <c r="AJ11" s="1">
        <f>W11</f>
        <v>200</v>
      </c>
    </row>
    <row r="12" spans="2:36" x14ac:dyDescent="0.45">
      <c r="B12" s="1">
        <f t="shared" si="0"/>
        <v>8</v>
      </c>
      <c r="C12" s="493" t="s">
        <v>11</v>
      </c>
      <c r="D12" s="493"/>
      <c r="E12" s="493"/>
      <c r="F12" s="488">
        <v>100</v>
      </c>
      <c r="G12" s="488"/>
      <c r="H12" s="488"/>
      <c r="I12" s="488"/>
      <c r="J12" s="488"/>
      <c r="K12" s="488">
        <v>10</v>
      </c>
      <c r="L12" s="488"/>
      <c r="M12" s="488"/>
      <c r="N12" s="5"/>
      <c r="O12" s="5"/>
      <c r="P12" s="488">
        <v>10</v>
      </c>
      <c r="Q12" s="488"/>
      <c r="R12" s="488"/>
      <c r="S12" s="488"/>
      <c r="T12" s="488">
        <v>10</v>
      </c>
      <c r="U12" s="488"/>
      <c r="V12" s="488"/>
      <c r="W12" s="488">
        <v>40</v>
      </c>
      <c r="X12" s="488"/>
      <c r="Y12" s="488"/>
      <c r="Z12" s="488"/>
      <c r="AA12" s="488"/>
      <c r="AB12" s="488"/>
      <c r="AC12" s="11">
        <v>1</v>
      </c>
      <c r="AD12" s="11"/>
      <c r="AE12" s="11"/>
      <c r="AF12" s="1">
        <f>F12</f>
        <v>100</v>
      </c>
      <c r="AG12" s="1">
        <f>K12</f>
        <v>10</v>
      </c>
      <c r="AH12" s="1">
        <f>P12</f>
        <v>10</v>
      </c>
      <c r="AI12" s="1">
        <f>T12</f>
        <v>10</v>
      </c>
      <c r="AJ12" s="1">
        <f>W12</f>
        <v>40</v>
      </c>
    </row>
    <row r="13" spans="2:36" x14ac:dyDescent="0.45">
      <c r="B13" s="1">
        <f t="shared" si="0"/>
        <v>9</v>
      </c>
      <c r="C13" s="489" t="s">
        <v>12</v>
      </c>
      <c r="D13" s="489"/>
      <c r="E13" s="489"/>
      <c r="F13" s="488">
        <v>10</v>
      </c>
      <c r="G13" s="488"/>
      <c r="H13" s="488"/>
      <c r="I13" s="488"/>
      <c r="J13" s="488"/>
      <c r="K13" s="488">
        <v>10</v>
      </c>
      <c r="L13" s="488"/>
      <c r="M13" s="488"/>
      <c r="N13" s="5"/>
      <c r="O13" s="5"/>
      <c r="P13" s="488"/>
      <c r="Q13" s="488"/>
      <c r="R13" s="488"/>
      <c r="S13" s="488"/>
      <c r="T13" s="488"/>
      <c r="U13" s="488"/>
      <c r="V13" s="488"/>
      <c r="W13" s="488"/>
      <c r="X13" s="488"/>
      <c r="Y13" s="488"/>
      <c r="Z13" s="488"/>
      <c r="AA13" s="488"/>
      <c r="AB13" s="488"/>
      <c r="AC13" s="11"/>
      <c r="AD13" s="11">
        <v>1</v>
      </c>
      <c r="AE13" s="11"/>
      <c r="AF13" s="1">
        <f>(F13*4)/12</f>
        <v>3.3333333333333335</v>
      </c>
      <c r="AG13" s="1">
        <f>K13*4/12</f>
        <v>3.3333333333333335</v>
      </c>
      <c r="AH13" s="1"/>
      <c r="AI13" s="1"/>
      <c r="AJ13" s="1"/>
    </row>
    <row r="14" spans="2:36" ht="15" customHeight="1" x14ac:dyDescent="0.45">
      <c r="B14" s="3">
        <f t="shared" si="0"/>
        <v>10</v>
      </c>
      <c r="C14" s="495" t="s">
        <v>13</v>
      </c>
      <c r="D14" s="496"/>
      <c r="E14" s="497"/>
      <c r="F14" s="494">
        <v>80</v>
      </c>
      <c r="G14" s="494"/>
      <c r="H14" s="494"/>
      <c r="I14" s="494"/>
      <c r="J14" s="494"/>
      <c r="K14" s="494">
        <v>10</v>
      </c>
      <c r="L14" s="494"/>
      <c r="M14" s="494"/>
      <c r="N14" s="6"/>
      <c r="O14" s="6"/>
      <c r="P14" s="494">
        <v>10</v>
      </c>
      <c r="Q14" s="494"/>
      <c r="R14" s="494"/>
      <c r="S14" s="494"/>
      <c r="T14" s="494">
        <v>10</v>
      </c>
      <c r="U14" s="494"/>
      <c r="V14" s="494"/>
      <c r="W14" s="494">
        <v>40</v>
      </c>
      <c r="X14" s="494"/>
      <c r="Y14" s="494"/>
      <c r="Z14" s="494"/>
      <c r="AA14" s="494"/>
      <c r="AB14" s="494"/>
      <c r="AC14" s="11">
        <v>1</v>
      </c>
      <c r="AD14" s="11"/>
      <c r="AE14" s="11"/>
      <c r="AF14" s="1">
        <f>F14</f>
        <v>80</v>
      </c>
      <c r="AG14" s="1">
        <f>K14</f>
        <v>10</v>
      </c>
      <c r="AH14" s="1">
        <f>P14</f>
        <v>10</v>
      </c>
      <c r="AI14" s="1">
        <f>T14</f>
        <v>10</v>
      </c>
      <c r="AJ14" s="1">
        <f>W14</f>
        <v>40</v>
      </c>
    </row>
    <row r="15" spans="2:36" x14ac:dyDescent="0.45">
      <c r="B15" s="1">
        <f t="shared" si="0"/>
        <v>11</v>
      </c>
      <c r="C15" s="493" t="s">
        <v>14</v>
      </c>
      <c r="D15" s="493"/>
      <c r="E15" s="493"/>
      <c r="F15" s="488">
        <v>300</v>
      </c>
      <c r="G15" s="488"/>
      <c r="H15" s="488"/>
      <c r="I15" s="488"/>
      <c r="J15" s="488"/>
      <c r="K15" s="488">
        <v>10</v>
      </c>
      <c r="L15" s="488"/>
      <c r="M15" s="488"/>
      <c r="N15" s="5"/>
      <c r="O15" s="5"/>
      <c r="P15" s="488"/>
      <c r="Q15" s="488"/>
      <c r="R15" s="488"/>
      <c r="S15" s="488"/>
      <c r="T15" s="488"/>
      <c r="U15" s="488"/>
      <c r="V15" s="488"/>
      <c r="W15" s="488">
        <v>100</v>
      </c>
      <c r="X15" s="488"/>
      <c r="Y15" s="488"/>
      <c r="Z15" s="488"/>
      <c r="AA15" s="488"/>
      <c r="AB15" s="488"/>
      <c r="AC15" s="11">
        <v>1</v>
      </c>
      <c r="AD15" s="11"/>
      <c r="AE15" s="11"/>
      <c r="AF15" s="1">
        <f t="shared" ref="AF15:AF20" si="1">F15</f>
        <v>300</v>
      </c>
      <c r="AG15" s="1">
        <f t="shared" ref="AG15:AG17" si="2">K15</f>
        <v>10</v>
      </c>
      <c r="AH15" s="1"/>
      <c r="AI15" s="1"/>
      <c r="AJ15" s="1">
        <f t="shared" ref="AJ15:AJ17" si="3">W15</f>
        <v>100</v>
      </c>
    </row>
    <row r="16" spans="2:36" ht="15" customHeight="1" x14ac:dyDescent="0.45">
      <c r="B16" s="1">
        <f t="shared" si="0"/>
        <v>12</v>
      </c>
      <c r="C16" s="498" t="s">
        <v>15</v>
      </c>
      <c r="D16" s="498"/>
      <c r="E16" s="498"/>
      <c r="F16" s="488">
        <v>130</v>
      </c>
      <c r="G16" s="488"/>
      <c r="H16" s="488"/>
      <c r="I16" s="488"/>
      <c r="J16" s="488"/>
      <c r="K16" s="488">
        <v>50</v>
      </c>
      <c r="L16" s="488"/>
      <c r="M16" s="488"/>
      <c r="N16" s="5"/>
      <c r="O16" s="5"/>
      <c r="P16" s="488"/>
      <c r="Q16" s="488"/>
      <c r="R16" s="488"/>
      <c r="S16" s="488"/>
      <c r="T16" s="488"/>
      <c r="U16" s="488"/>
      <c r="V16" s="488"/>
      <c r="W16" s="488">
        <v>100</v>
      </c>
      <c r="X16" s="488"/>
      <c r="Y16" s="488"/>
      <c r="Z16" s="488"/>
      <c r="AA16" s="488"/>
      <c r="AB16" s="488"/>
      <c r="AC16" s="11">
        <v>1</v>
      </c>
      <c r="AD16" s="11"/>
      <c r="AE16" s="11"/>
      <c r="AF16" s="1">
        <f t="shared" si="1"/>
        <v>130</v>
      </c>
      <c r="AG16" s="1">
        <f t="shared" si="2"/>
        <v>50</v>
      </c>
      <c r="AH16" s="1"/>
      <c r="AI16" s="1"/>
      <c r="AJ16" s="1">
        <f t="shared" si="3"/>
        <v>100</v>
      </c>
    </row>
    <row r="17" spans="2:36" ht="15" customHeight="1" x14ac:dyDescent="0.45">
      <c r="B17" s="1">
        <f t="shared" si="0"/>
        <v>13</v>
      </c>
      <c r="C17" s="493" t="s">
        <v>16</v>
      </c>
      <c r="D17" s="493"/>
      <c r="E17" s="493"/>
      <c r="F17" s="488">
        <v>50</v>
      </c>
      <c r="G17" s="488"/>
      <c r="H17" s="488"/>
      <c r="I17" s="488"/>
      <c r="J17" s="488"/>
      <c r="K17" s="488">
        <v>10</v>
      </c>
      <c r="L17" s="488"/>
      <c r="M17" s="488"/>
      <c r="N17" s="5"/>
      <c r="O17" s="5"/>
      <c r="P17" s="488">
        <v>10</v>
      </c>
      <c r="Q17" s="488"/>
      <c r="R17" s="488"/>
      <c r="S17" s="488"/>
      <c r="T17" s="488"/>
      <c r="U17" s="488"/>
      <c r="V17" s="488"/>
      <c r="W17" s="488">
        <v>10</v>
      </c>
      <c r="X17" s="488"/>
      <c r="Y17" s="488"/>
      <c r="Z17" s="488"/>
      <c r="AA17" s="488"/>
      <c r="AB17" s="488"/>
      <c r="AC17" s="11">
        <v>1</v>
      </c>
      <c r="AD17" s="11"/>
      <c r="AE17" s="11"/>
      <c r="AF17" s="1">
        <f t="shared" si="1"/>
        <v>50</v>
      </c>
      <c r="AG17" s="1">
        <f t="shared" si="2"/>
        <v>10</v>
      </c>
      <c r="AH17" s="1">
        <f>P17</f>
        <v>10</v>
      </c>
      <c r="AI17" s="1"/>
      <c r="AJ17" s="1">
        <f t="shared" si="3"/>
        <v>10</v>
      </c>
    </row>
    <row r="18" spans="2:36" x14ac:dyDescent="0.45">
      <c r="B18" s="1">
        <f t="shared" si="0"/>
        <v>14</v>
      </c>
      <c r="C18" s="493" t="s">
        <v>17</v>
      </c>
      <c r="D18" s="493"/>
      <c r="E18" s="493"/>
      <c r="F18" s="488">
        <v>150</v>
      </c>
      <c r="G18" s="488"/>
      <c r="H18" s="488"/>
      <c r="I18" s="488"/>
      <c r="J18" s="488"/>
      <c r="K18" s="488"/>
      <c r="L18" s="488"/>
      <c r="M18" s="488"/>
      <c r="N18" s="5"/>
      <c r="O18" s="5"/>
      <c r="P18" s="488"/>
      <c r="Q18" s="488"/>
      <c r="R18" s="488"/>
      <c r="S18" s="488"/>
      <c r="T18" s="488">
        <v>10</v>
      </c>
      <c r="U18" s="488"/>
      <c r="V18" s="488"/>
      <c r="W18" s="488"/>
      <c r="X18" s="488"/>
      <c r="Y18" s="488"/>
      <c r="Z18" s="488"/>
      <c r="AA18" s="488"/>
      <c r="AB18" s="488"/>
      <c r="AC18" s="11">
        <v>1</v>
      </c>
      <c r="AD18" s="11"/>
      <c r="AE18" s="11"/>
      <c r="AF18" s="1">
        <f t="shared" si="1"/>
        <v>150</v>
      </c>
      <c r="AG18" s="1"/>
      <c r="AH18" s="1"/>
      <c r="AI18" s="1">
        <f>T18</f>
        <v>10</v>
      </c>
      <c r="AJ18" s="1"/>
    </row>
    <row r="19" spans="2:36" x14ac:dyDescent="0.45">
      <c r="B19" s="1">
        <f t="shared" si="0"/>
        <v>15</v>
      </c>
      <c r="C19" s="489" t="s">
        <v>18</v>
      </c>
      <c r="D19" s="489"/>
      <c r="E19" s="489"/>
      <c r="F19" s="488">
        <v>10</v>
      </c>
      <c r="G19" s="488"/>
      <c r="H19" s="488"/>
      <c r="I19" s="488"/>
      <c r="J19" s="488"/>
      <c r="K19" s="488">
        <v>20</v>
      </c>
      <c r="L19" s="488"/>
      <c r="M19" s="488"/>
      <c r="N19" s="5"/>
      <c r="O19" s="5"/>
      <c r="P19" s="488"/>
      <c r="Q19" s="488"/>
      <c r="R19" s="488"/>
      <c r="S19" s="488"/>
      <c r="T19" s="488">
        <v>10</v>
      </c>
      <c r="U19" s="488"/>
      <c r="V19" s="488"/>
      <c r="W19" s="488">
        <v>70</v>
      </c>
      <c r="X19" s="488"/>
      <c r="Y19" s="488"/>
      <c r="Z19" s="488"/>
      <c r="AA19" s="488"/>
      <c r="AB19" s="488"/>
      <c r="AC19" s="11">
        <v>1</v>
      </c>
      <c r="AD19" s="11"/>
      <c r="AE19" s="11"/>
      <c r="AF19" s="1">
        <f t="shared" si="1"/>
        <v>10</v>
      </c>
      <c r="AG19" s="1">
        <f>K19</f>
        <v>20</v>
      </c>
      <c r="AH19" s="1"/>
      <c r="AI19" s="1">
        <f t="shared" ref="AI19:AI20" si="4">T19</f>
        <v>10</v>
      </c>
      <c r="AJ19" s="1">
        <f>W19</f>
        <v>70</v>
      </c>
    </row>
    <row r="20" spans="2:36" ht="15" customHeight="1" x14ac:dyDescent="0.45">
      <c r="B20" s="1">
        <f t="shared" si="0"/>
        <v>16</v>
      </c>
      <c r="C20" s="489" t="s">
        <v>19</v>
      </c>
      <c r="D20" s="489"/>
      <c r="E20" s="489"/>
      <c r="F20" s="488">
        <v>10</v>
      </c>
      <c r="G20" s="488"/>
      <c r="H20" s="488"/>
      <c r="I20" s="488"/>
      <c r="J20" s="488"/>
      <c r="K20" s="488"/>
      <c r="L20" s="488"/>
      <c r="M20" s="488"/>
      <c r="N20" s="5"/>
      <c r="O20" s="5"/>
      <c r="P20" s="488"/>
      <c r="Q20" s="488"/>
      <c r="R20" s="488"/>
      <c r="S20" s="488"/>
      <c r="T20" s="488">
        <v>10</v>
      </c>
      <c r="U20" s="488"/>
      <c r="V20" s="488"/>
      <c r="W20" s="488">
        <v>10</v>
      </c>
      <c r="X20" s="488"/>
      <c r="Y20" s="488"/>
      <c r="Z20" s="488"/>
      <c r="AA20" s="488"/>
      <c r="AB20" s="488"/>
      <c r="AC20" s="11">
        <v>1</v>
      </c>
      <c r="AD20" s="11"/>
      <c r="AE20" s="11"/>
      <c r="AF20" s="1">
        <f t="shared" si="1"/>
        <v>10</v>
      </c>
      <c r="AG20" s="1"/>
      <c r="AH20" s="1"/>
      <c r="AI20" s="1">
        <f t="shared" si="4"/>
        <v>10</v>
      </c>
      <c r="AJ20" s="1">
        <f>W20</f>
        <v>10</v>
      </c>
    </row>
    <row r="21" spans="2:36" x14ac:dyDescent="0.45">
      <c r="B21" s="1">
        <f t="shared" si="0"/>
        <v>17</v>
      </c>
      <c r="C21" s="493" t="s">
        <v>20</v>
      </c>
      <c r="D21" s="493"/>
      <c r="E21" s="493"/>
      <c r="F21" s="499">
        <v>10</v>
      </c>
      <c r="G21" s="499"/>
      <c r="H21" s="499"/>
      <c r="I21" s="499"/>
      <c r="J21" s="499"/>
      <c r="K21" s="488">
        <v>10</v>
      </c>
      <c r="L21" s="488"/>
      <c r="M21" s="488"/>
      <c r="N21" s="5"/>
      <c r="O21" s="5"/>
      <c r="P21" s="488"/>
      <c r="Q21" s="488"/>
      <c r="R21" s="488"/>
      <c r="S21" s="488"/>
      <c r="T21" s="488"/>
      <c r="U21" s="488"/>
      <c r="V21" s="488"/>
      <c r="W21" s="488">
        <v>10</v>
      </c>
      <c r="X21" s="488"/>
      <c r="Y21" s="488"/>
      <c r="Z21" s="488"/>
      <c r="AA21" s="488"/>
      <c r="AB21" s="488"/>
      <c r="AC21" s="11"/>
      <c r="AD21" s="11">
        <v>1</v>
      </c>
      <c r="AE21" s="11"/>
      <c r="AF21" s="1">
        <f>(F21*4)/12</f>
        <v>3.3333333333333335</v>
      </c>
      <c r="AG21" s="1">
        <f>K21*4/12</f>
        <v>3.3333333333333335</v>
      </c>
      <c r="AH21" s="1"/>
      <c r="AI21" s="1"/>
      <c r="AJ21" s="1">
        <f>W21*4/12</f>
        <v>3.3333333333333335</v>
      </c>
    </row>
    <row r="22" spans="2:36" x14ac:dyDescent="0.45">
      <c r="B22" s="1">
        <f t="shared" si="0"/>
        <v>18</v>
      </c>
      <c r="C22" s="489" t="s">
        <v>21</v>
      </c>
      <c r="D22" s="489"/>
      <c r="E22" s="489"/>
      <c r="F22" s="488">
        <v>20</v>
      </c>
      <c r="G22" s="488"/>
      <c r="H22" s="488"/>
      <c r="I22" s="488"/>
      <c r="J22" s="488"/>
      <c r="K22" s="488"/>
      <c r="L22" s="488"/>
      <c r="M22" s="488"/>
      <c r="N22" s="5"/>
      <c r="O22" s="5"/>
      <c r="P22" s="488"/>
      <c r="Q22" s="488"/>
      <c r="R22" s="488"/>
      <c r="S22" s="488"/>
      <c r="T22" s="488"/>
      <c r="U22" s="488"/>
      <c r="V22" s="488"/>
      <c r="W22" s="488"/>
      <c r="X22" s="488"/>
      <c r="Y22" s="488"/>
      <c r="Z22" s="488"/>
      <c r="AA22" s="488"/>
      <c r="AB22" s="488"/>
      <c r="AC22" s="11">
        <v>1</v>
      </c>
      <c r="AD22" s="11"/>
      <c r="AE22" s="11"/>
      <c r="AF22" s="1">
        <f>F22</f>
        <v>20</v>
      </c>
      <c r="AG22" s="1"/>
      <c r="AH22" s="1"/>
      <c r="AI22" s="1"/>
      <c r="AJ22" s="1"/>
    </row>
    <row r="23" spans="2:36" x14ac:dyDescent="0.45">
      <c r="B23" s="1">
        <f t="shared" si="0"/>
        <v>19</v>
      </c>
      <c r="C23" s="489" t="s">
        <v>22</v>
      </c>
      <c r="D23" s="489"/>
      <c r="E23" s="489"/>
      <c r="F23" s="488">
        <v>10</v>
      </c>
      <c r="G23" s="488"/>
      <c r="H23" s="488"/>
      <c r="I23" s="488"/>
      <c r="J23" s="488"/>
      <c r="K23" s="488"/>
      <c r="L23" s="488"/>
      <c r="M23" s="488"/>
      <c r="N23" s="5"/>
      <c r="O23" s="5"/>
      <c r="P23" s="488"/>
      <c r="Q23" s="488"/>
      <c r="R23" s="488"/>
      <c r="S23" s="488"/>
      <c r="T23" s="488"/>
      <c r="U23" s="488"/>
      <c r="V23" s="488"/>
      <c r="W23" s="488"/>
      <c r="X23" s="488"/>
      <c r="Y23" s="488"/>
      <c r="Z23" s="488"/>
      <c r="AA23" s="488"/>
      <c r="AB23" s="488"/>
      <c r="AC23" s="11"/>
      <c r="AD23" s="11">
        <v>1</v>
      </c>
      <c r="AE23" s="11"/>
      <c r="AF23" s="1">
        <f>(F23*4)/12</f>
        <v>3.3333333333333335</v>
      </c>
      <c r="AG23" s="1"/>
      <c r="AH23" s="1"/>
      <c r="AI23" s="1"/>
      <c r="AJ23" s="1"/>
    </row>
    <row r="24" spans="2:36" x14ac:dyDescent="0.45">
      <c r="B24" s="1">
        <f t="shared" si="0"/>
        <v>20</v>
      </c>
      <c r="C24" s="489" t="s">
        <v>23</v>
      </c>
      <c r="D24" s="489"/>
      <c r="E24" s="489"/>
      <c r="F24" s="488">
        <v>10</v>
      </c>
      <c r="G24" s="488"/>
      <c r="H24" s="488"/>
      <c r="I24" s="488"/>
      <c r="J24" s="488"/>
      <c r="K24" s="488"/>
      <c r="L24" s="488"/>
      <c r="M24" s="488"/>
      <c r="N24" s="5"/>
      <c r="O24" s="5"/>
      <c r="P24" s="488">
        <v>10</v>
      </c>
      <c r="Q24" s="488"/>
      <c r="R24" s="488"/>
      <c r="S24" s="488"/>
      <c r="T24" s="488"/>
      <c r="U24" s="488"/>
      <c r="V24" s="488"/>
      <c r="W24" s="488">
        <v>10</v>
      </c>
      <c r="X24" s="488"/>
      <c r="Y24" s="488"/>
      <c r="Z24" s="488">
        <v>10</v>
      </c>
      <c r="AA24" s="488"/>
      <c r="AB24" s="488"/>
      <c r="AC24" s="11"/>
      <c r="AD24" s="11">
        <v>1</v>
      </c>
      <c r="AE24" s="11"/>
      <c r="AF24" s="1">
        <f>(F24*4)/12</f>
        <v>3.3333333333333335</v>
      </c>
      <c r="AG24" s="1"/>
      <c r="AH24" s="1">
        <f>P24</f>
        <v>10</v>
      </c>
      <c r="AI24" s="1"/>
      <c r="AJ24" s="1">
        <f>W24*4/12</f>
        <v>3.3333333333333335</v>
      </c>
    </row>
    <row r="25" spans="2:36" x14ac:dyDescent="0.45">
      <c r="B25" s="1">
        <f t="shared" si="0"/>
        <v>21</v>
      </c>
      <c r="C25" s="489" t="s">
        <v>37</v>
      </c>
      <c r="D25" s="489"/>
      <c r="E25" s="489"/>
      <c r="F25" s="488">
        <v>10</v>
      </c>
      <c r="G25" s="488"/>
      <c r="H25" s="488"/>
      <c r="I25" s="488"/>
      <c r="J25" s="488"/>
      <c r="K25" s="488"/>
      <c r="L25" s="488"/>
      <c r="M25" s="488"/>
      <c r="N25" s="5"/>
      <c r="O25" s="5"/>
      <c r="P25" s="488"/>
      <c r="Q25" s="488"/>
      <c r="R25" s="488"/>
      <c r="S25" s="488"/>
      <c r="T25" s="488"/>
      <c r="U25" s="488"/>
      <c r="V25" s="488"/>
      <c r="W25" s="488"/>
      <c r="X25" s="488"/>
      <c r="Y25" s="488"/>
      <c r="Z25" s="488"/>
      <c r="AA25" s="488"/>
      <c r="AB25" s="488"/>
      <c r="AC25" s="1">
        <v>1</v>
      </c>
      <c r="AD25" s="1"/>
      <c r="AE25" s="1"/>
      <c r="AF25" s="1">
        <v>0</v>
      </c>
      <c r="AG25" s="1"/>
      <c r="AH25" s="1"/>
      <c r="AI25" s="1"/>
      <c r="AJ25" s="1"/>
    </row>
    <row r="26" spans="2:36" x14ac:dyDescent="0.45">
      <c r="B26" s="1">
        <f t="shared" si="0"/>
        <v>22</v>
      </c>
      <c r="C26" s="489" t="s">
        <v>38</v>
      </c>
      <c r="D26" s="489"/>
      <c r="E26" s="489"/>
      <c r="F26" s="488">
        <v>10</v>
      </c>
      <c r="G26" s="488"/>
      <c r="H26" s="488"/>
      <c r="I26" s="488"/>
      <c r="J26" s="488"/>
      <c r="K26" s="488"/>
      <c r="L26" s="488"/>
      <c r="M26" s="488"/>
      <c r="N26" s="5"/>
      <c r="O26" s="5"/>
      <c r="P26" s="488"/>
      <c r="Q26" s="488"/>
      <c r="R26" s="488"/>
      <c r="S26" s="488"/>
      <c r="T26" s="488"/>
      <c r="U26" s="488"/>
      <c r="V26" s="488"/>
      <c r="W26" s="488"/>
      <c r="X26" s="488"/>
      <c r="Y26" s="488"/>
      <c r="Z26" s="488"/>
      <c r="AA26" s="488"/>
      <c r="AB26" s="488"/>
      <c r="AC26" s="1">
        <v>1</v>
      </c>
      <c r="AD26" s="1"/>
      <c r="AE26" s="1"/>
      <c r="AF26" s="1">
        <v>0</v>
      </c>
      <c r="AG26" s="1"/>
      <c r="AH26" s="1"/>
      <c r="AI26" s="1"/>
      <c r="AJ26" s="1"/>
    </row>
    <row r="27" spans="2:36" x14ac:dyDescent="0.45">
      <c r="B27" s="1">
        <f t="shared" si="0"/>
        <v>23</v>
      </c>
      <c r="C27" s="489" t="s">
        <v>24</v>
      </c>
      <c r="D27" s="489"/>
      <c r="E27" s="489"/>
      <c r="F27" s="488">
        <v>10</v>
      </c>
      <c r="G27" s="488"/>
      <c r="H27" s="488"/>
      <c r="I27" s="488"/>
      <c r="J27" s="488"/>
      <c r="K27" s="488"/>
      <c r="L27" s="488"/>
      <c r="M27" s="488"/>
      <c r="N27" s="5"/>
      <c r="O27" s="5"/>
      <c r="P27" s="488"/>
      <c r="Q27" s="488"/>
      <c r="R27" s="488"/>
      <c r="S27" s="488"/>
      <c r="T27" s="488"/>
      <c r="U27" s="488"/>
      <c r="V27" s="488"/>
      <c r="W27" s="488"/>
      <c r="X27" s="488"/>
      <c r="Y27" s="488"/>
      <c r="Z27" s="488"/>
      <c r="AA27" s="488"/>
      <c r="AB27" s="488"/>
      <c r="AC27" s="11"/>
      <c r="AD27" s="11"/>
      <c r="AE27" s="11">
        <v>1</v>
      </c>
      <c r="AF27" s="1">
        <f>F27*2/12</f>
        <v>1.6666666666666667</v>
      </c>
      <c r="AG27" s="1"/>
      <c r="AH27" s="1"/>
      <c r="AI27" s="1"/>
      <c r="AJ27" s="1"/>
    </row>
    <row r="28" spans="2:36" s="19" customFormat="1" x14ac:dyDescent="0.45">
      <c r="B28" s="1">
        <f t="shared" si="0"/>
        <v>24</v>
      </c>
      <c r="C28" s="526" t="s">
        <v>25</v>
      </c>
      <c r="D28" s="526"/>
      <c r="E28" s="526"/>
      <c r="F28" s="525">
        <v>10</v>
      </c>
      <c r="G28" s="525"/>
      <c r="H28" s="525"/>
      <c r="I28" s="525"/>
      <c r="J28" s="525"/>
      <c r="K28" s="525"/>
      <c r="L28" s="525"/>
      <c r="M28" s="525"/>
      <c r="N28" s="18"/>
      <c r="O28" s="18"/>
      <c r="P28" s="525"/>
      <c r="Q28" s="525"/>
      <c r="R28" s="525"/>
      <c r="S28" s="525"/>
      <c r="T28" s="525"/>
      <c r="U28" s="525"/>
      <c r="V28" s="525"/>
      <c r="W28" s="525"/>
      <c r="X28" s="525"/>
      <c r="Y28" s="525"/>
      <c r="Z28" s="525"/>
      <c r="AA28" s="525"/>
      <c r="AB28" s="525"/>
      <c r="AC28" s="11">
        <v>1</v>
      </c>
      <c r="AD28" s="11"/>
      <c r="AE28" s="11"/>
      <c r="AF28" s="17">
        <f>F28</f>
        <v>10</v>
      </c>
      <c r="AG28" s="17"/>
      <c r="AH28" s="17"/>
      <c r="AI28" s="17"/>
      <c r="AJ28" s="17"/>
    </row>
    <row r="29" spans="2:36" x14ac:dyDescent="0.45">
      <c r="B29" s="501" t="s">
        <v>26</v>
      </c>
      <c r="C29" s="501"/>
      <c r="D29" s="501"/>
      <c r="E29" s="501"/>
      <c r="F29" s="488">
        <f>SUM(F5:F28)</f>
        <v>1560</v>
      </c>
      <c r="G29" s="488"/>
      <c r="H29" s="488"/>
      <c r="I29" s="488"/>
      <c r="J29" s="488"/>
      <c r="K29" s="488">
        <f>SUM(K5:K28)</f>
        <v>160</v>
      </c>
      <c r="L29" s="488"/>
      <c r="M29" s="488"/>
      <c r="N29" s="5"/>
      <c r="O29" s="5"/>
      <c r="P29" s="488">
        <f>SUM(P5:P28)</f>
        <v>50</v>
      </c>
      <c r="Q29" s="488"/>
      <c r="R29" s="488"/>
      <c r="S29" s="488"/>
      <c r="T29" s="488">
        <f>SUM(T5:T28)</f>
        <v>70</v>
      </c>
      <c r="U29" s="488"/>
      <c r="V29" s="488"/>
      <c r="W29" s="488">
        <f>SUM(W5:W28)</f>
        <v>700</v>
      </c>
      <c r="X29" s="488"/>
      <c r="Y29" s="488"/>
      <c r="Z29" s="488">
        <f>SUM(Z5:Z28)</f>
        <v>10</v>
      </c>
      <c r="AA29" s="488"/>
      <c r="AB29" s="488"/>
      <c r="AC29">
        <f>SUM(AC5:AC28)</f>
        <v>15</v>
      </c>
      <c r="AD29">
        <f t="shared" ref="AD29:AE29" si="5">SUM(AD5:AD28)</f>
        <v>6</v>
      </c>
      <c r="AE29">
        <f t="shared" si="5"/>
        <v>3</v>
      </c>
      <c r="AF29" s="9">
        <f>SUM(AF5:AF28)</f>
        <v>1305</v>
      </c>
      <c r="AG29" s="10">
        <f>SUM(AG5:AG28)</f>
        <v>140</v>
      </c>
      <c r="AH29" s="4">
        <f>SUM(AH5:AH28)</f>
        <v>50</v>
      </c>
      <c r="AI29" s="1">
        <f>SUM(AI5:AI28)</f>
        <v>63.333333333333336</v>
      </c>
      <c r="AJ29" s="1">
        <f>SUM(AJ5:AJ28)</f>
        <v>645</v>
      </c>
    </row>
    <row r="30" spans="2:36" x14ac:dyDescent="0.45">
      <c r="AE30">
        <f>AC29+AD29+AE29</f>
        <v>24</v>
      </c>
      <c r="AF30">
        <f>AVERAGE(AF5:AF26)</f>
        <v>58.787878787878782</v>
      </c>
      <c r="AG30">
        <f>AVERAGE(AG5:AG28)</f>
        <v>12.727272727272727</v>
      </c>
      <c r="AI30">
        <f>AVERAGE(AI5:AI29)</f>
        <v>15.833333333333334</v>
      </c>
      <c r="AJ30">
        <f>AVERAGE(AJ5:AJ29)</f>
        <v>92.142857142857139</v>
      </c>
    </row>
    <row r="31" spans="2:36" x14ac:dyDescent="0.45">
      <c r="AC31" s="130">
        <f>AC29/$AE$30</f>
        <v>0.625</v>
      </c>
      <c r="AD31" s="130">
        <f t="shared" ref="AD31:AE31" si="6">AD29/$AE$30</f>
        <v>0.25</v>
      </c>
      <c r="AE31" s="130">
        <f t="shared" si="6"/>
        <v>0.125</v>
      </c>
      <c r="AF31">
        <f>(AF30*100)/AF29</f>
        <v>4.5048182979217453</v>
      </c>
      <c r="AG31">
        <f>AG30*100/AG29</f>
        <v>9.0909090909090917</v>
      </c>
      <c r="AI31">
        <f>AI30*100/AI29</f>
        <v>25</v>
      </c>
      <c r="AJ31">
        <f>AJ30*100/AJ29</f>
        <v>14.285714285714285</v>
      </c>
    </row>
  </sheetData>
  <mergeCells count="181">
    <mergeCell ref="B29:E29"/>
    <mergeCell ref="F29:J29"/>
    <mergeCell ref="K29:M29"/>
    <mergeCell ref="P29:S29"/>
    <mergeCell ref="T29:V29"/>
    <mergeCell ref="W29:Y29"/>
    <mergeCell ref="Z29:AB29"/>
    <mergeCell ref="Z28:AB28"/>
    <mergeCell ref="C28:E28"/>
    <mergeCell ref="F28:J28"/>
    <mergeCell ref="K28:M28"/>
    <mergeCell ref="P28:S28"/>
    <mergeCell ref="T28:V28"/>
    <mergeCell ref="W28:Y28"/>
    <mergeCell ref="Z26:AB26"/>
    <mergeCell ref="C27:E27"/>
    <mergeCell ref="F27:J27"/>
    <mergeCell ref="K27:M27"/>
    <mergeCell ref="P27:S27"/>
    <mergeCell ref="T27:V27"/>
    <mergeCell ref="W27:Y27"/>
    <mergeCell ref="Z27:AB27"/>
    <mergeCell ref="C26:E26"/>
    <mergeCell ref="F26:J26"/>
    <mergeCell ref="K26:M26"/>
    <mergeCell ref="P26:S26"/>
    <mergeCell ref="T26:V26"/>
    <mergeCell ref="W26:Y26"/>
    <mergeCell ref="Z24:AB24"/>
    <mergeCell ref="C25:E25"/>
    <mergeCell ref="F25:J25"/>
    <mergeCell ref="K25:M25"/>
    <mergeCell ref="P25:S25"/>
    <mergeCell ref="T25:V25"/>
    <mergeCell ref="W25:Y25"/>
    <mergeCell ref="Z25:AB25"/>
    <mergeCell ref="C24:E24"/>
    <mergeCell ref="F24:J24"/>
    <mergeCell ref="K24:M24"/>
    <mergeCell ref="P24:S24"/>
    <mergeCell ref="T24:V24"/>
    <mergeCell ref="W24:Y24"/>
    <mergeCell ref="C23:E23"/>
    <mergeCell ref="F23:J23"/>
    <mergeCell ref="K23:M23"/>
    <mergeCell ref="P23:S23"/>
    <mergeCell ref="T23:V23"/>
    <mergeCell ref="W23:Y23"/>
    <mergeCell ref="Z23:AB23"/>
    <mergeCell ref="C22:E22"/>
    <mergeCell ref="F22:J22"/>
    <mergeCell ref="K22:M22"/>
    <mergeCell ref="P22:S22"/>
    <mergeCell ref="T22:V22"/>
    <mergeCell ref="W22:Y22"/>
    <mergeCell ref="Z22:AB22"/>
    <mergeCell ref="Z20:AB20"/>
    <mergeCell ref="C21:E21"/>
    <mergeCell ref="F21:J21"/>
    <mergeCell ref="K21:M21"/>
    <mergeCell ref="P21:S21"/>
    <mergeCell ref="T21:V21"/>
    <mergeCell ref="W21:Y21"/>
    <mergeCell ref="Z21:AB21"/>
    <mergeCell ref="C20:E20"/>
    <mergeCell ref="F20:J20"/>
    <mergeCell ref="K20:M20"/>
    <mergeCell ref="P20:S20"/>
    <mergeCell ref="T20:V20"/>
    <mergeCell ref="W20:Y20"/>
    <mergeCell ref="Z18:AB18"/>
    <mergeCell ref="C19:E19"/>
    <mergeCell ref="F19:J19"/>
    <mergeCell ref="K19:M19"/>
    <mergeCell ref="P19:S19"/>
    <mergeCell ref="T19:V19"/>
    <mergeCell ref="W19:Y19"/>
    <mergeCell ref="Z19:AB19"/>
    <mergeCell ref="C18:E18"/>
    <mergeCell ref="F18:J18"/>
    <mergeCell ref="K18:M18"/>
    <mergeCell ref="P18:S18"/>
    <mergeCell ref="T18:V18"/>
    <mergeCell ref="W18:Y18"/>
    <mergeCell ref="Z16:AB16"/>
    <mergeCell ref="C17:E17"/>
    <mergeCell ref="F17:J17"/>
    <mergeCell ref="K17:M17"/>
    <mergeCell ref="P17:S17"/>
    <mergeCell ref="T17:V17"/>
    <mergeCell ref="W17:Y17"/>
    <mergeCell ref="Z17:AB17"/>
    <mergeCell ref="C16:E16"/>
    <mergeCell ref="F16:J16"/>
    <mergeCell ref="K16:M16"/>
    <mergeCell ref="P16:S16"/>
    <mergeCell ref="T16:V16"/>
    <mergeCell ref="W16:Y16"/>
    <mergeCell ref="Z14:AB14"/>
    <mergeCell ref="C15:E15"/>
    <mergeCell ref="F15:J15"/>
    <mergeCell ref="K15:M15"/>
    <mergeCell ref="P15:S15"/>
    <mergeCell ref="T15:V15"/>
    <mergeCell ref="W15:Y15"/>
    <mergeCell ref="Z15:AB15"/>
    <mergeCell ref="C14:E14"/>
    <mergeCell ref="F14:J14"/>
    <mergeCell ref="K14:M14"/>
    <mergeCell ref="P14:S14"/>
    <mergeCell ref="T14:V14"/>
    <mergeCell ref="W14:Y14"/>
    <mergeCell ref="Z12:AB12"/>
    <mergeCell ref="C13:E13"/>
    <mergeCell ref="F13:J13"/>
    <mergeCell ref="K13:M13"/>
    <mergeCell ref="P13:S13"/>
    <mergeCell ref="T13:V13"/>
    <mergeCell ref="W13:Y13"/>
    <mergeCell ref="Z13:AB13"/>
    <mergeCell ref="C12:E12"/>
    <mergeCell ref="F12:J12"/>
    <mergeCell ref="K12:M12"/>
    <mergeCell ref="P12:S12"/>
    <mergeCell ref="T12:V12"/>
    <mergeCell ref="W12:Y12"/>
    <mergeCell ref="Z10:AB10"/>
    <mergeCell ref="C11:E11"/>
    <mergeCell ref="F11:J11"/>
    <mergeCell ref="K11:M11"/>
    <mergeCell ref="P11:S11"/>
    <mergeCell ref="T11:V11"/>
    <mergeCell ref="W11:Y11"/>
    <mergeCell ref="Z11:AB11"/>
    <mergeCell ref="C10:E10"/>
    <mergeCell ref="F10:J10"/>
    <mergeCell ref="K10:M10"/>
    <mergeCell ref="P10:S10"/>
    <mergeCell ref="T10:V10"/>
    <mergeCell ref="W10:Y10"/>
    <mergeCell ref="Z8:AB8"/>
    <mergeCell ref="C9:E9"/>
    <mergeCell ref="F9:J9"/>
    <mergeCell ref="K9:M9"/>
    <mergeCell ref="P9:S9"/>
    <mergeCell ref="T9:V9"/>
    <mergeCell ref="W9:Y9"/>
    <mergeCell ref="Z9:AB9"/>
    <mergeCell ref="C8:E8"/>
    <mergeCell ref="F8:J8"/>
    <mergeCell ref="K8:M8"/>
    <mergeCell ref="P8:S8"/>
    <mergeCell ref="T8:V8"/>
    <mergeCell ref="W8:Y8"/>
    <mergeCell ref="Z6:AB6"/>
    <mergeCell ref="F7:J7"/>
    <mergeCell ref="K7:M7"/>
    <mergeCell ref="P7:S7"/>
    <mergeCell ref="T7:V7"/>
    <mergeCell ref="W7:Y7"/>
    <mergeCell ref="Z7:AB7"/>
    <mergeCell ref="C6:E6"/>
    <mergeCell ref="F6:J6"/>
    <mergeCell ref="K6:M6"/>
    <mergeCell ref="P6:S6"/>
    <mergeCell ref="T6:V6"/>
    <mergeCell ref="W6:Y6"/>
    <mergeCell ref="Z4:AB4"/>
    <mergeCell ref="C5:E5"/>
    <mergeCell ref="F5:J5"/>
    <mergeCell ref="K5:M5"/>
    <mergeCell ref="P5:S5"/>
    <mergeCell ref="T5:V5"/>
    <mergeCell ref="W5:Y5"/>
    <mergeCell ref="Z5:AB5"/>
    <mergeCell ref="C4:E4"/>
    <mergeCell ref="F4:J4"/>
    <mergeCell ref="K4:O4"/>
    <mergeCell ref="P4:S4"/>
    <mergeCell ref="T4:V4"/>
    <mergeCell ref="W4:Y4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1:C14"/>
  <sheetViews>
    <sheetView workbookViewId="0">
      <selection activeCell="B18" sqref="B18"/>
    </sheetView>
  </sheetViews>
  <sheetFormatPr baseColWidth="10" defaultColWidth="11.3984375" defaultRowHeight="14.25" x14ac:dyDescent="0.45"/>
  <cols>
    <col min="2" max="2" width="36" customWidth="1"/>
    <col min="3" max="3" width="19.59765625" customWidth="1"/>
  </cols>
  <sheetData>
    <row r="1" spans="2:3" ht="14.65" thickBot="1" x14ac:dyDescent="0.5"/>
    <row r="2" spans="2:3" ht="15.4" x14ac:dyDescent="0.45">
      <c r="B2" s="330" t="s">
        <v>560</v>
      </c>
      <c r="C2" s="452" t="s">
        <v>344</v>
      </c>
    </row>
    <row r="3" spans="2:3" ht="15.4" x14ac:dyDescent="0.45">
      <c r="B3" s="453" t="s">
        <v>561</v>
      </c>
      <c r="C3" s="454">
        <f>'FLC F W'!O10</f>
        <v>34284.195232858176</v>
      </c>
    </row>
    <row r="4" spans="2:3" ht="15.4" x14ac:dyDescent="0.45">
      <c r="B4" s="453" t="s">
        <v>562</v>
      </c>
      <c r="C4" s="454">
        <f>'FLC F CAP'!O10</f>
        <v>33220.364989454436</v>
      </c>
    </row>
    <row r="5" spans="2:3" ht="15.4" x14ac:dyDescent="0.45">
      <c r="B5" s="453" t="s">
        <v>563</v>
      </c>
      <c r="C5" s="455">
        <f>'TIR PRY W'!C13</f>
        <v>0.38494411329971623</v>
      </c>
    </row>
    <row r="6" spans="2:3" ht="15.4" x14ac:dyDescent="0.45">
      <c r="B6" s="453" t="s">
        <v>564</v>
      </c>
      <c r="C6" s="455">
        <f>'TIR AX CAPM'!C13</f>
        <v>0.29645798521208988</v>
      </c>
    </row>
    <row r="7" spans="2:3" ht="15" customHeight="1" x14ac:dyDescent="0.45">
      <c r="B7" s="456" t="s">
        <v>565</v>
      </c>
      <c r="C7" s="457">
        <f>PE!E19</f>
        <v>11590.033694262458</v>
      </c>
    </row>
    <row r="8" spans="2:3" ht="13.5" customHeight="1" x14ac:dyDescent="0.45">
      <c r="B8" s="456" t="s">
        <v>566</v>
      </c>
      <c r="C8" s="457">
        <f>PE!F19</f>
        <v>534.75911760303484</v>
      </c>
    </row>
    <row r="9" spans="2:3" ht="13.5" customHeight="1" x14ac:dyDescent="0.45">
      <c r="B9" s="456" t="s">
        <v>567</v>
      </c>
      <c r="C9" s="457">
        <f>PE!G19</f>
        <v>36.550315456251575</v>
      </c>
    </row>
    <row r="10" spans="2:3" ht="13.5" customHeight="1" x14ac:dyDescent="0.45">
      <c r="B10" s="456" t="s">
        <v>568</v>
      </c>
      <c r="C10" s="457">
        <f>PE!H19</f>
        <v>27.982444710577493</v>
      </c>
    </row>
    <row r="11" spans="2:3" ht="13.5" customHeight="1" x14ac:dyDescent="0.45">
      <c r="B11" s="456" t="s">
        <v>569</v>
      </c>
      <c r="C11" s="457">
        <f>PE!I19</f>
        <v>2792.1177957537011</v>
      </c>
    </row>
    <row r="12" spans="2:3" ht="13.5" customHeight="1" x14ac:dyDescent="0.45">
      <c r="B12" s="456" t="s">
        <v>570</v>
      </c>
      <c r="C12" s="457">
        <f>PE!J19</f>
        <v>221.83040444239768</v>
      </c>
    </row>
    <row r="13" spans="2:3" ht="13.5" customHeight="1" x14ac:dyDescent="0.45">
      <c r="B13" s="155" t="s">
        <v>571</v>
      </c>
      <c r="C13" s="460">
        <f>PE!K19</f>
        <v>51.253464613840279</v>
      </c>
    </row>
    <row r="14" spans="2:3" ht="15.75" thickBot="1" x14ac:dyDescent="0.5">
      <c r="B14" s="458" t="s">
        <v>572</v>
      </c>
      <c r="C14" s="459" t="s">
        <v>573</v>
      </c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3:E13"/>
  <sheetViews>
    <sheetView workbookViewId="0">
      <selection activeCell="E16" sqref="E16"/>
    </sheetView>
  </sheetViews>
  <sheetFormatPr baseColWidth="10" defaultColWidth="11.3984375" defaultRowHeight="14.25" x14ac:dyDescent="0.45"/>
  <cols>
    <col min="3" max="3" width="15" customWidth="1"/>
    <col min="4" max="4" width="18.1328125" customWidth="1"/>
    <col min="5" max="5" width="17.73046875" customWidth="1"/>
  </cols>
  <sheetData>
    <row r="3" spans="2:5" ht="14.65" thickBot="1" x14ac:dyDescent="0.5">
      <c r="D3" s="120">
        <f>5.18%+4.6%</f>
        <v>9.7799999999999998E-2</v>
      </c>
    </row>
    <row r="4" spans="2:5" ht="16.5" customHeight="1" thickBot="1" x14ac:dyDescent="0.5">
      <c r="B4" s="551" t="s">
        <v>458</v>
      </c>
      <c r="C4" s="551" t="s">
        <v>459</v>
      </c>
      <c r="D4" s="212" t="s">
        <v>460</v>
      </c>
      <c r="E4" s="553" t="s">
        <v>461</v>
      </c>
    </row>
    <row r="5" spans="2:5" ht="30.75" customHeight="1" thickBot="1" x14ac:dyDescent="0.5">
      <c r="B5" s="552"/>
      <c r="C5" s="552"/>
      <c r="D5" s="214" t="s">
        <v>463</v>
      </c>
      <c r="E5" s="554"/>
    </row>
    <row r="6" spans="2:5" ht="15.75" thickBot="1" x14ac:dyDescent="0.5">
      <c r="B6" s="269">
        <v>1</v>
      </c>
      <c r="C6" s="210">
        <f>VAN!C5</f>
        <v>22849.176041243431</v>
      </c>
      <c r="D6" s="215">
        <f>1/(1+$D$3)^B6</f>
        <v>0.91091273456002919</v>
      </c>
      <c r="E6" s="297">
        <f t="shared" ref="E6:E10" si="0">C6*D6</f>
        <v>20813.605430172556</v>
      </c>
    </row>
    <row r="7" spans="2:5" ht="15.75" thickBot="1" x14ac:dyDescent="0.5">
      <c r="B7" s="269">
        <v>2</v>
      </c>
      <c r="C7" s="210">
        <f>VAN!C6</f>
        <v>23768.835922011123</v>
      </c>
      <c r="D7" s="215">
        <f t="shared" ref="D7:D9" si="1">1/(1+$D$3)^B7</f>
        <v>0.82976200998363037</v>
      </c>
      <c r="E7" s="297">
        <f t="shared" si="0"/>
        <v>19722.477069619064</v>
      </c>
    </row>
    <row r="8" spans="2:5" ht="15.75" thickBot="1" x14ac:dyDescent="0.5">
      <c r="B8" s="269">
        <v>3</v>
      </c>
      <c r="C8" s="210">
        <f>VAN!C7</f>
        <v>24715.583826673956</v>
      </c>
      <c r="D8" s="215">
        <f t="shared" si="1"/>
        <v>0.75584078154821499</v>
      </c>
      <c r="E8" s="297">
        <f t="shared" si="0"/>
        <v>18681.046195973664</v>
      </c>
    </row>
    <row r="9" spans="2:5" ht="15.75" thickBot="1" x14ac:dyDescent="0.5">
      <c r="B9" s="269">
        <v>4</v>
      </c>
      <c r="C9" s="210">
        <f>VAN!C8</f>
        <v>24515.943763003506</v>
      </c>
      <c r="D9" s="293">
        <f t="shared" si="1"/>
        <v>0.68850499321207426</v>
      </c>
      <c r="E9" s="297">
        <f t="shared" si="0"/>
        <v>16879.349694134322</v>
      </c>
    </row>
    <row r="10" spans="2:5" ht="15.75" thickBot="1" x14ac:dyDescent="0.5">
      <c r="B10" s="269">
        <v>5</v>
      </c>
      <c r="C10" s="210">
        <f>VAN!C9</f>
        <v>72803.285141296379</v>
      </c>
      <c r="D10" s="294">
        <f>1/(1+$D$3)^B10</f>
        <v>0.62716796612504488</v>
      </c>
      <c r="E10" s="297">
        <f t="shared" si="0"/>
        <v>45659.888269288553</v>
      </c>
    </row>
    <row r="11" spans="2:5" ht="14.65" thickBot="1" x14ac:dyDescent="0.5">
      <c r="B11" s="295" t="s">
        <v>574</v>
      </c>
      <c r="C11" s="245"/>
      <c r="D11" s="245"/>
      <c r="E11" s="296">
        <f>SUM(E6:E10)</f>
        <v>121756.36665918816</v>
      </c>
    </row>
    <row r="13" spans="2:5" x14ac:dyDescent="0.45">
      <c r="E13" s="172">
        <f>E11/-VAN!C4</f>
        <v>1.660071531718988</v>
      </c>
    </row>
  </sheetData>
  <mergeCells count="3">
    <mergeCell ref="B4:B5"/>
    <mergeCell ref="C4:C5"/>
    <mergeCell ref="E4:E5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1:J26"/>
  <sheetViews>
    <sheetView tabSelected="1" workbookViewId="0">
      <selection activeCell="B2" sqref="B2:F9"/>
    </sheetView>
  </sheetViews>
  <sheetFormatPr baseColWidth="10" defaultColWidth="11.3984375" defaultRowHeight="14.25" x14ac:dyDescent="0.45"/>
  <cols>
    <col min="3" max="3" width="17.73046875" customWidth="1"/>
    <col min="4" max="4" width="25" customWidth="1"/>
    <col min="5" max="5" width="14.3984375" customWidth="1"/>
    <col min="6" max="6" width="17.86328125" customWidth="1"/>
    <col min="8" max="8" width="35.1328125" customWidth="1"/>
    <col min="9" max="9" width="12.59765625" customWidth="1"/>
    <col min="10" max="10" width="47.3984375" customWidth="1"/>
    <col min="12" max="12" width="12.73046875" customWidth="1"/>
    <col min="13" max="14" width="12" bestFit="1" customWidth="1"/>
    <col min="15" max="15" width="13.3984375" customWidth="1"/>
    <col min="16" max="16" width="19.1328125" customWidth="1"/>
    <col min="17" max="17" width="14.3984375" customWidth="1"/>
    <col min="18" max="18" width="12.86328125" customWidth="1"/>
  </cols>
  <sheetData>
    <row r="1" spans="2:7" ht="14.65" thickBot="1" x14ac:dyDescent="0.5">
      <c r="D1" s="120">
        <f>'CAPM; WACC'!C9</f>
        <v>0.14803649999999999</v>
      </c>
      <c r="E1" t="s">
        <v>482</v>
      </c>
    </row>
    <row r="2" spans="2:7" ht="30.75" customHeight="1" thickBot="1" x14ac:dyDescent="0.5">
      <c r="B2" s="551" t="s">
        <v>458</v>
      </c>
      <c r="C2" s="551" t="s">
        <v>459</v>
      </c>
      <c r="D2" s="212" t="s">
        <v>460</v>
      </c>
      <c r="E2" s="553" t="s">
        <v>461</v>
      </c>
      <c r="F2" s="553" t="s">
        <v>462</v>
      </c>
    </row>
    <row r="3" spans="2:7" ht="15.4" thickBot="1" x14ac:dyDescent="0.5">
      <c r="B3" s="552"/>
      <c r="C3" s="552"/>
      <c r="D3" s="214" t="s">
        <v>463</v>
      </c>
      <c r="E3" s="554"/>
      <c r="F3" s="554"/>
    </row>
    <row r="4" spans="2:7" ht="15.75" thickBot="1" x14ac:dyDescent="0.5">
      <c r="B4" s="269">
        <v>0</v>
      </c>
      <c r="C4" s="210">
        <f>'FLUJ CA'!C22</f>
        <v>-73344.04833333334</v>
      </c>
      <c r="D4" s="215">
        <f>1/(1+$D$1)^B4</f>
        <v>1</v>
      </c>
      <c r="E4" s="216">
        <f>C4*D4</f>
        <v>-73344.04833333334</v>
      </c>
      <c r="F4" s="216">
        <f>E4</f>
        <v>-73344.04833333334</v>
      </c>
    </row>
    <row r="5" spans="2:7" ht="15.75" thickBot="1" x14ac:dyDescent="0.5">
      <c r="B5" s="269">
        <v>1</v>
      </c>
      <c r="C5" s="210">
        <f>'FLUJ CA'!D22</f>
        <v>22849.176041243431</v>
      </c>
      <c r="D5" s="215">
        <f t="shared" ref="D5:D9" si="0">1/(1+$D$1)^B5</f>
        <v>0.87105244476112043</v>
      </c>
      <c r="E5" s="216">
        <f t="shared" ref="E5:E9" si="1">C5*D5</f>
        <v>19902.830651502311</v>
      </c>
      <c r="F5" s="216">
        <f>F4+E5</f>
        <v>-53441.217681831025</v>
      </c>
    </row>
    <row r="6" spans="2:7" ht="15.75" thickBot="1" x14ac:dyDescent="0.5">
      <c r="B6" s="269">
        <v>2</v>
      </c>
      <c r="C6" s="210">
        <f>'FLUJ CA'!E22</f>
        <v>23768.835922011123</v>
      </c>
      <c r="D6" s="215">
        <f t="shared" si="0"/>
        <v>0.75873236152432477</v>
      </c>
      <c r="E6" s="216">
        <f t="shared" si="1"/>
        <v>18034.185009791701</v>
      </c>
      <c r="F6" s="216">
        <f>F5+E6</f>
        <v>-35407.03267203932</v>
      </c>
    </row>
    <row r="7" spans="2:7" ht="15.75" thickBot="1" x14ac:dyDescent="0.5">
      <c r="B7" s="269">
        <v>3</v>
      </c>
      <c r="C7" s="210">
        <f>'FLUJ CA'!F22</f>
        <v>24715.583826673956</v>
      </c>
      <c r="D7" s="215">
        <f t="shared" si="0"/>
        <v>0.66089567842514152</v>
      </c>
      <c r="E7" s="216">
        <f t="shared" si="1"/>
        <v>16334.42254080314</v>
      </c>
      <c r="F7" s="216">
        <f>F6+E7</f>
        <v>-19072.610131236179</v>
      </c>
    </row>
    <row r="8" spans="2:7" ht="15.75" thickBot="1" x14ac:dyDescent="0.5">
      <c r="B8" s="269">
        <v>4</v>
      </c>
      <c r="C8" s="210">
        <f>'FLUJ CA'!G22</f>
        <v>24515.943763003506</v>
      </c>
      <c r="D8" s="215">
        <f t="shared" si="0"/>
        <v>0.57567479642427877</v>
      </c>
      <c r="E8" s="216">
        <f t="shared" si="1"/>
        <v>14113.210934916111</v>
      </c>
      <c r="F8" s="216">
        <f>F7+E8</f>
        <v>-4959.3991963200679</v>
      </c>
    </row>
    <row r="9" spans="2:7" ht="15.75" thickBot="1" x14ac:dyDescent="0.5">
      <c r="B9" s="269">
        <v>5</v>
      </c>
      <c r="C9" s="210">
        <f>'FLUJ CA'!H22</f>
        <v>72803.285141296379</v>
      </c>
      <c r="D9" s="215">
        <f t="shared" si="0"/>
        <v>0.50144293881272828</v>
      </c>
      <c r="E9" s="216">
        <f t="shared" si="1"/>
        <v>36506.693256472689</v>
      </c>
      <c r="F9" s="216">
        <f>F8+E9</f>
        <v>31547.294060152621</v>
      </c>
    </row>
    <row r="10" spans="2:7" x14ac:dyDescent="0.45">
      <c r="E10" s="206">
        <f>SUM(E4:E9)</f>
        <v>31547.294060152621</v>
      </c>
    </row>
    <row r="11" spans="2:7" x14ac:dyDescent="0.45">
      <c r="G11" s="107">
        <f>IRR(C4:C9)</f>
        <v>0.28646351576581708</v>
      </c>
    </row>
    <row r="12" spans="2:7" ht="14.65" thickBot="1" x14ac:dyDescent="0.5">
      <c r="D12" s="107">
        <f>'CAPM; WACC'!H9</f>
        <v>0.12197189999999999</v>
      </c>
      <c r="E12" t="s">
        <v>450</v>
      </c>
    </row>
    <row r="13" spans="2:7" ht="30.4" thickBot="1" x14ac:dyDescent="0.5">
      <c r="B13" s="551" t="s">
        <v>458</v>
      </c>
      <c r="C13" s="551" t="s">
        <v>459</v>
      </c>
      <c r="D13" s="212" t="s">
        <v>460</v>
      </c>
      <c r="E13" s="389" t="s">
        <v>461</v>
      </c>
      <c r="F13" s="553" t="s">
        <v>462</v>
      </c>
    </row>
    <row r="14" spans="2:7" ht="15.4" thickBot="1" x14ac:dyDescent="0.5">
      <c r="B14" s="552"/>
      <c r="C14" s="552"/>
      <c r="D14" s="214" t="s">
        <v>463</v>
      </c>
      <c r="E14" s="390"/>
      <c r="F14" s="554"/>
    </row>
    <row r="15" spans="2:7" ht="15.75" thickBot="1" x14ac:dyDescent="0.5">
      <c r="B15" s="269">
        <v>0</v>
      </c>
      <c r="C15" s="210">
        <f>C4</f>
        <v>-73344.04833333334</v>
      </c>
      <c r="D15" s="215">
        <f>1/(1+$D$12)^B15</f>
        <v>1</v>
      </c>
      <c r="E15" s="216">
        <f>C15*D15</f>
        <v>-73344.04833333334</v>
      </c>
      <c r="F15" s="216">
        <f>E15</f>
        <v>-73344.04833333334</v>
      </c>
    </row>
    <row r="16" spans="2:7" ht="15.75" thickBot="1" x14ac:dyDescent="0.5">
      <c r="B16" s="269">
        <v>1</v>
      </c>
      <c r="C16" s="210">
        <f t="shared" ref="C16:C20" si="2">C5</f>
        <v>22849.176041243431</v>
      </c>
      <c r="D16" s="215">
        <f t="shared" ref="D16:D20" si="3">1/(1+$D$12)^B16</f>
        <v>0.89128791906463978</v>
      </c>
      <c r="E16" s="216">
        <f t="shared" ref="E16:E20" si="4">C16*D16</f>
        <v>20365.194566141479</v>
      </c>
      <c r="F16" s="216">
        <f>F15+E16</f>
        <v>-52978.85376719186</v>
      </c>
    </row>
    <row r="17" spans="2:10" ht="15.75" thickBot="1" x14ac:dyDescent="0.5">
      <c r="B17" s="269">
        <v>2</v>
      </c>
      <c r="C17" s="210">
        <f t="shared" si="2"/>
        <v>23768.835922011123</v>
      </c>
      <c r="D17" s="215">
        <f t="shared" si="3"/>
        <v>0.79439415467057573</v>
      </c>
      <c r="E17" s="216">
        <f t="shared" si="4"/>
        <v>18881.824319769639</v>
      </c>
      <c r="F17" s="216">
        <f>F16+E17</f>
        <v>-34097.029447422217</v>
      </c>
    </row>
    <row r="18" spans="2:10" ht="15.75" thickBot="1" x14ac:dyDescent="0.5">
      <c r="B18" s="269">
        <v>3</v>
      </c>
      <c r="C18" s="210">
        <f t="shared" si="2"/>
        <v>24715.583826673956</v>
      </c>
      <c r="D18" s="215">
        <f t="shared" si="3"/>
        <v>0.70803391303345098</v>
      </c>
      <c r="E18" s="216">
        <f t="shared" si="4"/>
        <v>17499.471529706236</v>
      </c>
      <c r="F18" s="216">
        <f>F17+E18</f>
        <v>-16597.557917715982</v>
      </c>
    </row>
    <row r="19" spans="2:10" ht="15.75" thickBot="1" x14ac:dyDescent="0.5">
      <c r="B19" s="269">
        <v>4</v>
      </c>
      <c r="C19" s="210">
        <f t="shared" si="2"/>
        <v>24515.943763003506</v>
      </c>
      <c r="D19" s="215">
        <f t="shared" si="3"/>
        <v>0.63106207297477868</v>
      </c>
      <c r="E19" s="216">
        <f t="shared" si="4"/>
        <v>15471.082292014089</v>
      </c>
      <c r="F19" s="216">
        <f>F18+E19</f>
        <v>-1126.4756257018926</v>
      </c>
      <c r="I19" s="107"/>
    </row>
    <row r="20" spans="2:10" ht="15.75" thickBot="1" x14ac:dyDescent="0.5">
      <c r="B20" s="269">
        <v>5</v>
      </c>
      <c r="C20" s="210">
        <f t="shared" si="2"/>
        <v>72803.285141296379</v>
      </c>
      <c r="D20" s="215">
        <f t="shared" si="3"/>
        <v>0.56245800182230821</v>
      </c>
      <c r="E20" s="216">
        <f t="shared" si="4"/>
        <v>40948.790286673306</v>
      </c>
      <c r="F20" s="216">
        <f>F19+E20</f>
        <v>39822.314660971417</v>
      </c>
    </row>
    <row r="24" spans="2:10" x14ac:dyDescent="0.45">
      <c r="J24" s="107"/>
    </row>
    <row r="25" spans="2:10" x14ac:dyDescent="0.45">
      <c r="I25" s="120"/>
    </row>
    <row r="26" spans="2:10" x14ac:dyDescent="0.45">
      <c r="I26" s="107"/>
    </row>
  </sheetData>
  <mergeCells count="7">
    <mergeCell ref="B2:B3"/>
    <mergeCell ref="C2:C3"/>
    <mergeCell ref="E2:E3"/>
    <mergeCell ref="F2:F3"/>
    <mergeCell ref="B13:B14"/>
    <mergeCell ref="C13:C14"/>
    <mergeCell ref="F13:F1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H26"/>
  <sheetViews>
    <sheetView topLeftCell="A4" workbookViewId="0">
      <selection activeCell="D7" sqref="D7"/>
    </sheetView>
  </sheetViews>
  <sheetFormatPr baseColWidth="10" defaultColWidth="11.3984375" defaultRowHeight="14.25" x14ac:dyDescent="0.45"/>
  <cols>
    <col min="2" max="2" width="18.73046875" customWidth="1"/>
    <col min="3" max="5" width="15.86328125" customWidth="1"/>
    <col min="6" max="6" width="14.265625" customWidth="1"/>
    <col min="7" max="7" width="13" customWidth="1"/>
    <col min="8" max="8" width="12.86328125" customWidth="1"/>
  </cols>
  <sheetData>
    <row r="2" spans="2:8" x14ac:dyDescent="0.45">
      <c r="B2" t="s">
        <v>575</v>
      </c>
    </row>
    <row r="3" spans="2:8" x14ac:dyDescent="0.45">
      <c r="B3" t="s">
        <v>576</v>
      </c>
    </row>
    <row r="6" spans="2:8" x14ac:dyDescent="0.45">
      <c r="B6" t="s">
        <v>458</v>
      </c>
      <c r="C6">
        <v>0</v>
      </c>
      <c r="D6">
        <v>1</v>
      </c>
      <c r="E6">
        <v>2</v>
      </c>
      <c r="F6">
        <v>3</v>
      </c>
      <c r="G6">
        <v>4</v>
      </c>
      <c r="H6">
        <v>5</v>
      </c>
    </row>
    <row r="7" spans="2:8" x14ac:dyDescent="0.45">
      <c r="B7" t="s">
        <v>577</v>
      </c>
      <c r="C7" s="172">
        <f>Amor!C5</f>
        <v>29337.619333333336</v>
      </c>
      <c r="D7" s="172">
        <f>C7-Amor!J5</f>
        <v>24765.232864426776</v>
      </c>
      <c r="E7" s="172">
        <f>Amor!K6</f>
        <v>19621.298086906892</v>
      </c>
      <c r="F7" s="172">
        <f>Amor!K7</f>
        <v>13834.371462197025</v>
      </c>
      <c r="G7" s="172">
        <f>Amor!K8</f>
        <v>7324.0790093984251</v>
      </c>
      <c r="H7" s="172">
        <f>Amor!K9</f>
        <v>0</v>
      </c>
    </row>
    <row r="8" spans="2:8" x14ac:dyDescent="0.45">
      <c r="B8" t="s">
        <v>544</v>
      </c>
      <c r="C8" s="172">
        <f>'BAN G'!E12</f>
        <v>44006.429000000004</v>
      </c>
      <c r="D8" s="172">
        <f>C8+'PER YG'!C14</f>
        <v>65754.892510149992</v>
      </c>
      <c r="E8" s="172">
        <f>D8+'PER YG'!D14</f>
        <v>88994.564209681004</v>
      </c>
      <c r="F8" s="172">
        <f>E8+'PER YG'!E14</f>
        <v>113823.97566106482</v>
      </c>
      <c r="G8" s="172">
        <f>F8+'PER YG'!F14</f>
        <v>140349.93287686692</v>
      </c>
      <c r="H8" s="172">
        <f>G8+'PER YG'!G14</f>
        <v>168688.36469422837</v>
      </c>
    </row>
    <row r="9" spans="2:8" x14ac:dyDescent="0.45">
      <c r="B9" t="s">
        <v>180</v>
      </c>
      <c r="C9" s="172">
        <f t="shared" ref="C9:H9" si="0">SUM(C7:C8)</f>
        <v>73344.04833333334</v>
      </c>
      <c r="D9" s="172">
        <f t="shared" si="0"/>
        <v>90520.125374576775</v>
      </c>
      <c r="E9" s="172">
        <f t="shared" si="0"/>
        <v>108615.8622965879</v>
      </c>
      <c r="F9" s="172">
        <f t="shared" si="0"/>
        <v>127658.34712326185</v>
      </c>
      <c r="G9" s="172">
        <f t="shared" si="0"/>
        <v>147674.01188626536</v>
      </c>
      <c r="H9" s="172">
        <f t="shared" si="0"/>
        <v>168688.36469422837</v>
      </c>
    </row>
    <row r="11" spans="2:8" x14ac:dyDescent="0.45">
      <c r="B11" t="s">
        <v>578</v>
      </c>
      <c r="C11" s="120">
        <f t="shared" ref="C11:H11" si="1">C7/C9</f>
        <v>0.4</v>
      </c>
      <c r="D11" s="120">
        <f t="shared" si="1"/>
        <v>0.27358814144309912</v>
      </c>
      <c r="E11" s="120">
        <f t="shared" si="1"/>
        <v>0.18064855051584194</v>
      </c>
      <c r="F11" s="120">
        <f t="shared" si="1"/>
        <v>0.10837028501425844</v>
      </c>
      <c r="G11" s="120">
        <f t="shared" si="1"/>
        <v>4.9596262171296854E-2</v>
      </c>
      <c r="H11" s="120">
        <f t="shared" si="1"/>
        <v>0</v>
      </c>
    </row>
    <row r="12" spans="2:8" x14ac:dyDescent="0.45">
      <c r="B12" t="s">
        <v>579</v>
      </c>
      <c r="C12" s="120">
        <f t="shared" ref="C12:H12" si="2">C8/C9</f>
        <v>0.6</v>
      </c>
      <c r="D12" s="120">
        <f t="shared" si="2"/>
        <v>0.72641185855690082</v>
      </c>
      <c r="E12" s="120">
        <f t="shared" si="2"/>
        <v>0.81935144948415795</v>
      </c>
      <c r="F12" s="120">
        <f t="shared" si="2"/>
        <v>0.89162971498574151</v>
      </c>
      <c r="G12" s="120">
        <f t="shared" si="2"/>
        <v>0.95040373782870302</v>
      </c>
      <c r="H12" s="120">
        <f t="shared" si="2"/>
        <v>1</v>
      </c>
    </row>
    <row r="13" spans="2:8" x14ac:dyDescent="0.45">
      <c r="C13" s="120"/>
      <c r="D13" s="120"/>
      <c r="E13" s="120"/>
      <c r="F13" s="120"/>
      <c r="G13" s="120"/>
      <c r="H13" s="120"/>
    </row>
    <row r="14" spans="2:8" x14ac:dyDescent="0.45">
      <c r="C14" s="120"/>
      <c r="D14" s="120"/>
      <c r="E14" s="120"/>
      <c r="F14" s="120"/>
      <c r="G14" s="120"/>
      <c r="H14" s="120"/>
    </row>
    <row r="15" spans="2:8" x14ac:dyDescent="0.45">
      <c r="C15" t="s">
        <v>580</v>
      </c>
      <c r="D15" s="120">
        <f>Amor!G3*(1-22%)</f>
        <v>9.7500000000000003E-2</v>
      </c>
      <c r="E15" s="120">
        <f>D15</f>
        <v>9.7500000000000003E-2</v>
      </c>
      <c r="F15" s="120">
        <f>D15</f>
        <v>9.7500000000000003E-2</v>
      </c>
      <c r="G15" s="120">
        <f>D15</f>
        <v>9.7500000000000003E-2</v>
      </c>
      <c r="H15" s="120"/>
    </row>
    <row r="16" spans="2:8" x14ac:dyDescent="0.45">
      <c r="C16" s="388">
        <v>1</v>
      </c>
      <c r="D16" s="388">
        <v>2</v>
      </c>
      <c r="E16" s="388">
        <v>3</v>
      </c>
      <c r="F16" s="388">
        <v>4</v>
      </c>
      <c r="G16" s="388">
        <v>5</v>
      </c>
      <c r="H16" s="120"/>
    </row>
    <row r="17" spans="2:8" x14ac:dyDescent="0.45">
      <c r="B17" t="s">
        <v>581</v>
      </c>
      <c r="C17">
        <v>0.87</v>
      </c>
    </row>
    <row r="18" spans="2:8" x14ac:dyDescent="0.45">
      <c r="B18" t="s">
        <v>582</v>
      </c>
      <c r="C18" s="24">
        <f>$C$17*(1+D11/D12*(1-22%))</f>
        <v>1.1255807846420838</v>
      </c>
      <c r="D18" s="24">
        <f>$C$17*(1+E11/E12*(1-22%))</f>
        <v>1.0196160243046235</v>
      </c>
      <c r="E18" s="24">
        <f>$C$17*(1+F11/F12*(1-22%))</f>
        <v>0.95247826892114262</v>
      </c>
      <c r="F18" s="24">
        <f>$C$17*(1+G11/G12*(1-22%))</f>
        <v>0.90541234337559828</v>
      </c>
      <c r="G18" s="24">
        <f>$C$17*(1+H11/H12*(1-22%))</f>
        <v>0.87</v>
      </c>
      <c r="H18" s="24"/>
    </row>
    <row r="19" spans="2:8" x14ac:dyDescent="0.45">
      <c r="B19" t="s">
        <v>583</v>
      </c>
      <c r="C19" s="107">
        <f>'CAPM; WACC'!$C$5+C18*('CAPM; WACC'!$C$8-'CAPM; WACC'!$C$5)+'CAPM; WACC'!$C$6</f>
        <v>0.16655576845583525</v>
      </c>
      <c r="D19" s="107">
        <f>'CAPM; WACC'!$C$5+D18*('CAPM; WACC'!$C$8-'CAPM; WACC'!$C$5)+'CAPM; WACC'!$C$6</f>
        <v>0.15866139381069444</v>
      </c>
      <c r="E19" s="107">
        <f>'CAPM; WACC'!$C$5+E18*('CAPM; WACC'!$C$8-'CAPM; WACC'!$C$5)+'CAPM; WACC'!$C$6</f>
        <v>0.1536596310346251</v>
      </c>
      <c r="F19" s="107">
        <f>'CAPM; WACC'!$C$5+F18*('CAPM; WACC'!$C$8-'CAPM; WACC'!$C$5)+'CAPM; WACC'!$C$6</f>
        <v>0.15015321958148206</v>
      </c>
      <c r="G19" s="107">
        <f>'CAPM; WACC'!$C$5+G18*('CAPM; WACC'!$C$8-'CAPM; WACC'!$C$5)+'CAPM; WACC'!$C$6</f>
        <v>0.14751500000000001</v>
      </c>
    </row>
    <row r="20" spans="2:8" x14ac:dyDescent="0.45">
      <c r="B20" t="s">
        <v>450</v>
      </c>
      <c r="C20" s="387">
        <f>D11*D15+D12</f>
        <v>0.753086702347603</v>
      </c>
      <c r="D20" s="387">
        <f>$D$15*VAN!H3+Hoja5!E12</f>
        <v>0.81935144948415795</v>
      </c>
      <c r="E20" s="387">
        <f>$D$15*VAN!I3+Hoja5!F12</f>
        <v>0.89162971498574151</v>
      </c>
      <c r="F20" s="387">
        <f>$D$15*VAN!J3+Hoja5!G12</f>
        <v>0.95040373782870302</v>
      </c>
      <c r="G20" s="387">
        <f>$D$15*VAN!K3+Hoja5!H12</f>
        <v>1</v>
      </c>
    </row>
    <row r="22" spans="2:8" x14ac:dyDescent="0.45">
      <c r="B22" s="172">
        <f>Amor!C5</f>
        <v>29337.619333333336</v>
      </c>
      <c r="C22">
        <f>Amor!C5*(1+Amor!G3)</f>
        <v>33004.821750000003</v>
      </c>
    </row>
    <row r="23" spans="2:8" x14ac:dyDescent="0.45">
      <c r="B23" s="172">
        <f>Amor!C6</f>
        <v>44006.429000000004</v>
      </c>
      <c r="C23">
        <f>Amor!C6*(1+Hoja5!D15)</f>
        <v>48297.0558275</v>
      </c>
    </row>
    <row r="24" spans="2:8" x14ac:dyDescent="0.45">
      <c r="B24" s="172">
        <f>SUM(B22:B23)</f>
        <v>73344.04833333334</v>
      </c>
      <c r="C24">
        <f>SUM(C22:C23)</f>
        <v>81301.87757750001</v>
      </c>
    </row>
    <row r="25" spans="2:8" x14ac:dyDescent="0.45">
      <c r="B25" s="120">
        <f>(C24/B24)-1</f>
        <v>0.10850000000000004</v>
      </c>
      <c r="C25" s="120">
        <f>Amor!G3*(Amor!C5/Amor!C7)*(1-22%)+9.75%*(Amor!C6/Amor!C7)</f>
        <v>9.7500000000000003E-2</v>
      </c>
    </row>
    <row r="26" spans="2:8" x14ac:dyDescent="0.45">
      <c r="C26" s="107">
        <f>3%*(1000/3000)*(1-0)+10%*(2000/3000)</f>
        <v>7.6666666666666661E-2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R13"/>
  <sheetViews>
    <sheetView workbookViewId="0">
      <selection activeCell="D5" sqref="D5"/>
    </sheetView>
  </sheetViews>
  <sheetFormatPr baseColWidth="10" defaultColWidth="11.3984375" defaultRowHeight="14.25" x14ac:dyDescent="0.45"/>
  <cols>
    <col min="2" max="2" width="30.86328125" customWidth="1"/>
    <col min="3" max="3" width="12" customWidth="1"/>
    <col min="4" max="4" width="16.265625" customWidth="1"/>
    <col min="5" max="5" width="14" customWidth="1"/>
    <col min="6" max="6" width="16.59765625" customWidth="1"/>
    <col min="7" max="7" width="14.265625" customWidth="1"/>
    <col min="8" max="8" width="17.73046875" customWidth="1"/>
    <col min="9" max="9" width="12.73046875" customWidth="1"/>
    <col min="10" max="10" width="6.86328125" customWidth="1"/>
    <col min="11" max="11" width="27" customWidth="1"/>
    <col min="12" max="12" width="13.59765625" customWidth="1"/>
    <col min="13" max="13" width="9.86328125" customWidth="1"/>
    <col min="14" max="14" width="9.1328125" customWidth="1"/>
  </cols>
  <sheetData>
    <row r="3" spans="2:18" x14ac:dyDescent="0.45"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2:18" ht="30" x14ac:dyDescent="0.45">
      <c r="B4" s="311" t="s">
        <v>142</v>
      </c>
      <c r="C4" s="311" t="s">
        <v>143</v>
      </c>
      <c r="D4" s="311" t="s">
        <v>144</v>
      </c>
      <c r="E4" s="311" t="s">
        <v>145</v>
      </c>
      <c r="F4" s="311" t="s">
        <v>146</v>
      </c>
      <c r="G4" s="311" t="s">
        <v>147</v>
      </c>
      <c r="H4" s="311" t="s">
        <v>148</v>
      </c>
      <c r="I4" s="311" t="s">
        <v>149</v>
      </c>
    </row>
    <row r="5" spans="2:18" ht="15" x14ac:dyDescent="0.45">
      <c r="B5" s="312" t="s">
        <v>150</v>
      </c>
      <c r="C5" s="1">
        <f>'Tabu Pre 11'!J9</f>
        <v>123.75</v>
      </c>
      <c r="D5" s="1">
        <f>C5*48</f>
        <v>5940</v>
      </c>
      <c r="E5" s="1">
        <f>'Tabu Pre 11'!I9</f>
        <v>495</v>
      </c>
      <c r="F5" s="1">
        <f>E5*12</f>
        <v>5940</v>
      </c>
      <c r="G5" s="1">
        <f>'Tabu Pre 11'!K9</f>
        <v>2970</v>
      </c>
      <c r="H5" s="1">
        <f>G5*2</f>
        <v>5940</v>
      </c>
      <c r="I5" s="1">
        <f>D5+F5+H5</f>
        <v>17820</v>
      </c>
    </row>
    <row r="7" spans="2:18" ht="21" customHeight="1" thickBot="1" x14ac:dyDescent="0.5">
      <c r="L7">
        <v>1.0541</v>
      </c>
    </row>
    <row r="8" spans="2:18" ht="66" customHeight="1" x14ac:dyDescent="0.45">
      <c r="K8" s="330" t="s">
        <v>151</v>
      </c>
      <c r="L8" s="331" t="s">
        <v>143</v>
      </c>
      <c r="M8" s="331" t="s">
        <v>144</v>
      </c>
      <c r="N8" s="331" t="s">
        <v>145</v>
      </c>
      <c r="O8" s="331" t="s">
        <v>146</v>
      </c>
      <c r="P8" s="331" t="s">
        <v>147</v>
      </c>
      <c r="Q8" s="331" t="s">
        <v>148</v>
      </c>
      <c r="R8" s="332" t="s">
        <v>149</v>
      </c>
    </row>
    <row r="9" spans="2:18" ht="15.4" x14ac:dyDescent="0.45">
      <c r="K9" s="333" t="s">
        <v>152</v>
      </c>
      <c r="L9" s="323">
        <f t="shared" ref="L9:Q9" si="0">L10*$L$7</f>
        <v>130.444875</v>
      </c>
      <c r="M9" s="323">
        <f t="shared" si="0"/>
        <v>6261.3540000000003</v>
      </c>
      <c r="N9" s="323">
        <f t="shared" si="0"/>
        <v>521.77949999999998</v>
      </c>
      <c r="O9" s="323">
        <f t="shared" si="0"/>
        <v>6261.3540000000003</v>
      </c>
      <c r="P9" s="323">
        <f t="shared" si="0"/>
        <v>3130.6770000000001</v>
      </c>
      <c r="Q9" s="323">
        <f t="shared" si="0"/>
        <v>6261.3540000000003</v>
      </c>
      <c r="R9" s="334">
        <f>SUM(L9:Q9)</f>
        <v>22566.963374999999</v>
      </c>
    </row>
    <row r="10" spans="2:18" ht="15.4" x14ac:dyDescent="0.45">
      <c r="K10" s="333" t="s">
        <v>153</v>
      </c>
      <c r="L10" s="323">
        <f t="shared" ref="L10:Q10" si="1">C5</f>
        <v>123.75</v>
      </c>
      <c r="M10" s="323">
        <f t="shared" si="1"/>
        <v>5940</v>
      </c>
      <c r="N10" s="323">
        <f t="shared" si="1"/>
        <v>495</v>
      </c>
      <c r="O10" s="323">
        <f t="shared" si="1"/>
        <v>5940</v>
      </c>
      <c r="P10" s="323">
        <f t="shared" si="1"/>
        <v>2970</v>
      </c>
      <c r="Q10" s="323">
        <f t="shared" si="1"/>
        <v>5940</v>
      </c>
      <c r="R10" s="334">
        <f>M10+O10+Q10</f>
        <v>17820</v>
      </c>
    </row>
    <row r="11" spans="2:18" ht="15.75" thickBot="1" x14ac:dyDescent="0.5">
      <c r="K11" s="335" t="s">
        <v>154</v>
      </c>
      <c r="L11" s="336">
        <v>0.94589999999999996</v>
      </c>
      <c r="M11" s="336">
        <f>L11</f>
        <v>0.94589999999999996</v>
      </c>
      <c r="N11" s="336">
        <f t="shared" ref="N11:P11" si="2">M11</f>
        <v>0.94589999999999996</v>
      </c>
      <c r="O11" s="336">
        <f t="shared" si="2"/>
        <v>0.94589999999999996</v>
      </c>
      <c r="P11" s="336">
        <f t="shared" si="2"/>
        <v>0.94589999999999996</v>
      </c>
      <c r="Q11" s="336">
        <f t="shared" ref="Q11" si="3">P11</f>
        <v>0.94589999999999996</v>
      </c>
      <c r="R11" s="337">
        <f t="shared" ref="R11" si="4">Q11</f>
        <v>0.94589999999999996</v>
      </c>
    </row>
    <row r="13" spans="2:18" x14ac:dyDescent="0.45">
      <c r="L13">
        <f>100-94.59</f>
        <v>5.4099999999999966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36"/>
  <sheetViews>
    <sheetView topLeftCell="A10" workbookViewId="0">
      <selection activeCell="H8" sqref="H8:O11"/>
    </sheetView>
  </sheetViews>
  <sheetFormatPr baseColWidth="10" defaultColWidth="11.3984375" defaultRowHeight="14.25" x14ac:dyDescent="0.45"/>
  <cols>
    <col min="2" max="2" width="24.265625" customWidth="1"/>
    <col min="3" max="3" width="14.3984375" customWidth="1"/>
    <col min="4" max="4" width="11.3984375" customWidth="1"/>
    <col min="8" max="8" width="29.73046875" customWidth="1"/>
    <col min="10" max="10" width="13.265625" customWidth="1"/>
    <col min="12" max="12" width="14.1328125" customWidth="1"/>
    <col min="14" max="14" width="15.265625" customWidth="1"/>
  </cols>
  <sheetData>
    <row r="1" spans="2:15" x14ac:dyDescent="0.45">
      <c r="F1" t="s">
        <v>155</v>
      </c>
    </row>
    <row r="2" spans="2:15" ht="14.65" thickBot="1" x14ac:dyDescent="0.5">
      <c r="B2" s="110">
        <v>24</v>
      </c>
      <c r="C2" s="85"/>
    </row>
    <row r="3" spans="2:15" ht="30" x14ac:dyDescent="0.45">
      <c r="B3" s="530"/>
      <c r="C3" s="104" t="s">
        <v>156</v>
      </c>
      <c r="D3" s="104" t="s">
        <v>157</v>
      </c>
      <c r="E3" s="104" t="s">
        <v>158</v>
      </c>
      <c r="F3" s="104" t="s">
        <v>159</v>
      </c>
      <c r="O3" s="137"/>
    </row>
    <row r="4" spans="2:15" ht="15.4" thickBot="1" x14ac:dyDescent="0.5">
      <c r="B4" s="531"/>
      <c r="C4" s="105" t="s">
        <v>160</v>
      </c>
      <c r="D4" s="105" t="s">
        <v>160</v>
      </c>
      <c r="E4" s="105" t="s">
        <v>160</v>
      </c>
      <c r="F4" s="105" t="s">
        <v>160</v>
      </c>
      <c r="O4" s="529"/>
    </row>
    <row r="5" spans="2:15" ht="15" x14ac:dyDescent="0.45">
      <c r="B5" s="108" t="s">
        <v>161</v>
      </c>
      <c r="C5" s="527">
        <v>0.79</v>
      </c>
      <c r="D5" s="527">
        <f>'Tabulac Hosp'!AC31</f>
        <v>0.625</v>
      </c>
      <c r="E5" s="527">
        <f>'Tabulac Hosp'!AD31</f>
        <v>0.25</v>
      </c>
      <c r="F5" s="527">
        <f>'Tabulac Hosp'!AE31</f>
        <v>0.125</v>
      </c>
      <c r="O5" s="529"/>
    </row>
    <row r="6" spans="2:15" ht="30.4" thickBot="1" x14ac:dyDescent="0.5">
      <c r="B6" s="106" t="s">
        <v>162</v>
      </c>
      <c r="C6" s="528"/>
      <c r="D6" s="528"/>
      <c r="E6" s="528"/>
      <c r="F6" s="528"/>
    </row>
    <row r="7" spans="2:15" ht="14.65" thickBot="1" x14ac:dyDescent="0.5"/>
    <row r="8" spans="2:15" ht="30.4" thickBot="1" x14ac:dyDescent="0.5">
      <c r="H8" s="132" t="s">
        <v>163</v>
      </c>
      <c r="I8" s="129" t="s">
        <v>145</v>
      </c>
      <c r="J8" s="129" t="s">
        <v>146</v>
      </c>
      <c r="K8" s="129" t="s">
        <v>164</v>
      </c>
      <c r="L8" s="129" t="s">
        <v>165</v>
      </c>
      <c r="M8" s="129" t="s">
        <v>147</v>
      </c>
      <c r="N8" s="129" t="s">
        <v>148</v>
      </c>
      <c r="O8" s="132" t="s">
        <v>149</v>
      </c>
    </row>
    <row r="9" spans="2:15" ht="15.75" thickBot="1" x14ac:dyDescent="0.5">
      <c r="H9" s="133" t="s">
        <v>166</v>
      </c>
      <c r="I9" s="134">
        <f>'Tabulac Hosp'!F6+'Tabulac Hosp'!F7+'Tabulac Hosp'!F11+'Tabulac Hosp'!F12+'Tabulac Hosp'!F14+'Tabulac Hosp'!F15+'Tabulac Hosp'!F16+'Tabulac Hosp'!F17+'Tabulac Hosp'!F18+'Tabulac Hosp'!F19+'Tabulac Hosp'!F20+'Tabulac Hosp'!F22+'Tabulac Hosp'!F25+'Tabulac Hosp'!F26+'Tabulac Hosp'!F28+265</f>
        <v>1505</v>
      </c>
      <c r="J9" s="134">
        <f>I9*12</f>
        <v>18060</v>
      </c>
      <c r="K9" s="134">
        <f>'Tabulac Hosp'!F8+'Tabulac Hosp'!F9+'Tabulac Hosp'!F13+'Tabulac Hosp'!F21+'Tabulac Hosp'!F23+'Tabulac Hosp'!F24</f>
        <v>190</v>
      </c>
      <c r="L9" s="134">
        <f>K9*4</f>
        <v>760</v>
      </c>
      <c r="M9" s="135">
        <f>'Tabulac Hosp'!F5+'Tabulac Hosp'!F10+'Tabulac Hosp'!F27</f>
        <v>130</v>
      </c>
      <c r="N9" s="136">
        <f>M9*2</f>
        <v>260</v>
      </c>
      <c r="O9" s="136">
        <f>J9+L9+N9</f>
        <v>19080</v>
      </c>
    </row>
    <row r="10" spans="2:15" ht="21.75" customHeight="1" thickBot="1" x14ac:dyDescent="0.5">
      <c r="H10" s="133" t="s">
        <v>153</v>
      </c>
      <c r="I10" s="134">
        <f>I9*I11</f>
        <v>1188.95</v>
      </c>
      <c r="J10" s="134">
        <f t="shared" ref="J10:O10" si="0">J9*J11</f>
        <v>14267.400000000001</v>
      </c>
      <c r="K10" s="134">
        <f t="shared" si="0"/>
        <v>150.1</v>
      </c>
      <c r="L10" s="134">
        <f t="shared" si="0"/>
        <v>600.4</v>
      </c>
      <c r="M10" s="134">
        <f t="shared" si="0"/>
        <v>102.7</v>
      </c>
      <c r="N10" s="134">
        <f t="shared" si="0"/>
        <v>205.4</v>
      </c>
      <c r="O10" s="134">
        <f t="shared" si="0"/>
        <v>15073.2</v>
      </c>
    </row>
    <row r="11" spans="2:15" ht="22.5" customHeight="1" thickBot="1" x14ac:dyDescent="0.5">
      <c r="H11" s="133" t="s">
        <v>154</v>
      </c>
      <c r="I11" s="138">
        <f>$C$5</f>
        <v>0.79</v>
      </c>
      <c r="J11" s="138">
        <f t="shared" ref="J11:O11" si="1">$C$5</f>
        <v>0.79</v>
      </c>
      <c r="K11" s="138">
        <f t="shared" si="1"/>
        <v>0.79</v>
      </c>
      <c r="L11" s="138">
        <f t="shared" si="1"/>
        <v>0.79</v>
      </c>
      <c r="M11" s="138">
        <f t="shared" si="1"/>
        <v>0.79</v>
      </c>
      <c r="N11" s="138">
        <f t="shared" si="1"/>
        <v>0.79</v>
      </c>
      <c r="O11" s="138">
        <f t="shared" si="1"/>
        <v>0.79</v>
      </c>
    </row>
    <row r="12" spans="2:15" ht="15" x14ac:dyDescent="0.45">
      <c r="H12" s="137"/>
      <c r="I12" s="137"/>
      <c r="J12" s="137"/>
      <c r="K12" s="137"/>
      <c r="L12" s="137"/>
      <c r="M12" s="137"/>
      <c r="N12" s="137"/>
      <c r="O12" s="137"/>
    </row>
    <row r="13" spans="2:15" ht="15" x14ac:dyDescent="0.45">
      <c r="H13" s="131"/>
      <c r="I13" s="529"/>
      <c r="J13" s="529"/>
      <c r="K13" s="529"/>
      <c r="L13" s="529"/>
      <c r="M13" s="529"/>
      <c r="N13" s="529"/>
      <c r="O13" s="529"/>
    </row>
    <row r="14" spans="2:15" ht="15.4" thickBot="1" x14ac:dyDescent="0.5">
      <c r="C14" s="109"/>
      <c r="H14" s="131"/>
      <c r="I14" s="529"/>
      <c r="J14" s="529"/>
      <c r="K14" s="529"/>
      <c r="L14" s="529"/>
      <c r="M14" s="529"/>
      <c r="N14" s="529"/>
      <c r="O14" s="529"/>
    </row>
    <row r="15" spans="2:15" ht="30.4" thickBot="1" x14ac:dyDescent="0.5">
      <c r="H15" s="132" t="s">
        <v>167</v>
      </c>
      <c r="I15" s="129" t="s">
        <v>145</v>
      </c>
      <c r="J15" s="129" t="s">
        <v>146</v>
      </c>
      <c r="K15" s="129" t="s">
        <v>164</v>
      </c>
      <c r="L15" s="129" t="s">
        <v>165</v>
      </c>
      <c r="M15" s="129" t="s">
        <v>147</v>
      </c>
      <c r="N15" s="129" t="s">
        <v>148</v>
      </c>
      <c r="O15" s="132" t="s">
        <v>149</v>
      </c>
    </row>
    <row r="16" spans="2:15" ht="15.75" thickBot="1" x14ac:dyDescent="0.5">
      <c r="H16" s="133" t="s">
        <v>166</v>
      </c>
      <c r="I16" s="134">
        <f>'Tabulac Hosp'!K6+'Tabulac Hosp'!K7+'Tabulac Hosp'!K12+'Tabulac Hosp'!K14+'Tabulac Hosp'!K15+'Tabulac Hosp'!K16+'Tabulac Hosp'!K17+'Tabulac Hosp'!K19</f>
        <v>130</v>
      </c>
      <c r="J16" s="134">
        <f>I16*12</f>
        <v>1560</v>
      </c>
      <c r="K16" s="134">
        <f>'Tabulac Hosp'!K9+'Tabulac Hosp'!K13+'Tabulac Hosp'!K21</f>
        <v>30</v>
      </c>
      <c r="L16" s="134">
        <f>K16*4</f>
        <v>120</v>
      </c>
      <c r="M16" s="135">
        <v>0</v>
      </c>
      <c r="N16" s="136">
        <f>M16*2</f>
        <v>0</v>
      </c>
      <c r="O16" s="136">
        <f>J16+L16+N16</f>
        <v>1680</v>
      </c>
    </row>
    <row r="17" spans="8:15" ht="15.75" thickBot="1" x14ac:dyDescent="0.5">
      <c r="H17" s="133" t="s">
        <v>153</v>
      </c>
      <c r="I17" s="134">
        <f>I16*I18</f>
        <v>102.7</v>
      </c>
      <c r="J17" s="134">
        <f t="shared" ref="J17" si="2">J16*J18</f>
        <v>1232.4000000000001</v>
      </c>
      <c r="K17" s="134">
        <f t="shared" ref="K17" si="3">K16*K18</f>
        <v>23.700000000000003</v>
      </c>
      <c r="L17" s="134">
        <f t="shared" ref="L17" si="4">L16*L18</f>
        <v>94.800000000000011</v>
      </c>
      <c r="M17" s="134">
        <f t="shared" ref="M17" si="5">M16*M18</f>
        <v>0</v>
      </c>
      <c r="N17" s="134">
        <f t="shared" ref="N17" si="6">N16*N18</f>
        <v>0</v>
      </c>
      <c r="O17" s="134">
        <f t="shared" ref="O17" si="7">O16*O18</f>
        <v>1327.2</v>
      </c>
    </row>
    <row r="18" spans="8:15" ht="15.75" thickBot="1" x14ac:dyDescent="0.5">
      <c r="H18" s="133" t="s">
        <v>154</v>
      </c>
      <c r="I18" s="138">
        <f>$C$5</f>
        <v>0.79</v>
      </c>
      <c r="J18" s="138">
        <f t="shared" ref="J18:O18" si="8">$C$5</f>
        <v>0.79</v>
      </c>
      <c r="K18" s="138">
        <f t="shared" si="8"/>
        <v>0.79</v>
      </c>
      <c r="L18" s="138">
        <f t="shared" si="8"/>
        <v>0.79</v>
      </c>
      <c r="M18" s="138">
        <f t="shared" si="8"/>
        <v>0.79</v>
      </c>
      <c r="N18" s="138">
        <f t="shared" si="8"/>
        <v>0.79</v>
      </c>
      <c r="O18" s="138">
        <f t="shared" si="8"/>
        <v>0.79</v>
      </c>
    </row>
    <row r="20" spans="8:15" ht="14.65" thickBot="1" x14ac:dyDescent="0.5"/>
    <row r="21" spans="8:15" ht="30.4" thickBot="1" x14ac:dyDescent="0.5">
      <c r="H21" s="132" t="s">
        <v>168</v>
      </c>
      <c r="I21" s="129" t="s">
        <v>145</v>
      </c>
      <c r="J21" s="129" t="s">
        <v>146</v>
      </c>
      <c r="K21" s="129" t="s">
        <v>164</v>
      </c>
      <c r="L21" s="129" t="s">
        <v>165</v>
      </c>
      <c r="M21" s="129" t="s">
        <v>147</v>
      </c>
      <c r="N21" s="129" t="s">
        <v>148</v>
      </c>
      <c r="O21" s="132" t="s">
        <v>149</v>
      </c>
    </row>
    <row r="22" spans="8:15" ht="15.75" thickBot="1" x14ac:dyDescent="0.5">
      <c r="H22" s="133" t="s">
        <v>166</v>
      </c>
      <c r="I22" s="134">
        <f>'Tabulac Hosp'!P6+'Tabulac Hosp'!P12+'Tabulac Hosp'!P14+'Tabulac Hosp'!P17</f>
        <v>40</v>
      </c>
      <c r="J22" s="134">
        <f>I22*12</f>
        <v>480</v>
      </c>
      <c r="K22" s="134">
        <f>'Tabulac Hosp'!P24</f>
        <v>10</v>
      </c>
      <c r="L22" s="134">
        <f>K22*4</f>
        <v>40</v>
      </c>
      <c r="M22" s="135">
        <v>0</v>
      </c>
      <c r="N22" s="136">
        <f>M22*2</f>
        <v>0</v>
      </c>
      <c r="O22" s="136">
        <f>J22+L22+N22</f>
        <v>520</v>
      </c>
    </row>
    <row r="23" spans="8:15" ht="15.75" thickBot="1" x14ac:dyDescent="0.5">
      <c r="H23" s="133" t="s">
        <v>153</v>
      </c>
      <c r="I23" s="134">
        <f>I22*I24</f>
        <v>31.6</v>
      </c>
      <c r="J23" s="134">
        <f t="shared" ref="J23" si="9">J22*J24</f>
        <v>379.20000000000005</v>
      </c>
      <c r="K23" s="134">
        <f t="shared" ref="K23" si="10">K22*K24</f>
        <v>7.9</v>
      </c>
      <c r="L23" s="134">
        <f t="shared" ref="L23" si="11">L22*L24</f>
        <v>31.6</v>
      </c>
      <c r="M23" s="134">
        <f t="shared" ref="M23" si="12">M22*M24</f>
        <v>0</v>
      </c>
      <c r="N23" s="134">
        <f t="shared" ref="N23" si="13">N22*N24</f>
        <v>0</v>
      </c>
      <c r="O23" s="134">
        <f t="shared" ref="O23" si="14">O22*O24</f>
        <v>410.8</v>
      </c>
    </row>
    <row r="24" spans="8:15" ht="15.75" thickBot="1" x14ac:dyDescent="0.5">
      <c r="H24" s="133" t="s">
        <v>154</v>
      </c>
      <c r="I24" s="138">
        <f>$C$5</f>
        <v>0.79</v>
      </c>
      <c r="J24" s="138">
        <f t="shared" ref="J24:O24" si="15">$C$5</f>
        <v>0.79</v>
      </c>
      <c r="K24" s="138">
        <f t="shared" si="15"/>
        <v>0.79</v>
      </c>
      <c r="L24" s="138">
        <f t="shared" si="15"/>
        <v>0.79</v>
      </c>
      <c r="M24" s="138">
        <f t="shared" si="15"/>
        <v>0.79</v>
      </c>
      <c r="N24" s="138">
        <f t="shared" si="15"/>
        <v>0.79</v>
      </c>
      <c r="O24" s="138">
        <f t="shared" si="15"/>
        <v>0.79</v>
      </c>
    </row>
    <row r="26" spans="8:15" ht="14.65" thickBot="1" x14ac:dyDescent="0.5"/>
    <row r="27" spans="8:15" ht="30.4" thickBot="1" x14ac:dyDescent="0.5">
      <c r="H27" s="132" t="s">
        <v>169</v>
      </c>
      <c r="I27" s="129" t="s">
        <v>145</v>
      </c>
      <c r="J27" s="129" t="s">
        <v>146</v>
      </c>
      <c r="K27" s="129" t="s">
        <v>164</v>
      </c>
      <c r="L27" s="129" t="s">
        <v>165</v>
      </c>
      <c r="M27" s="129" t="s">
        <v>147</v>
      </c>
      <c r="N27" s="129" t="s">
        <v>148</v>
      </c>
      <c r="O27" s="132" t="s">
        <v>149</v>
      </c>
    </row>
    <row r="28" spans="8:15" ht="15.75" thickBot="1" x14ac:dyDescent="0.5">
      <c r="H28" s="133" t="s">
        <v>166</v>
      </c>
      <c r="I28" s="134">
        <f>'Tabulac Hosp'!T6+'Tabulac Hosp'!T12+'Tabulac Hosp'!T14+'Tabulac Hosp'!T18+'Tabulac Hosp'!T19+'Tabulac Hosp'!T20</f>
        <v>60</v>
      </c>
      <c r="J28" s="134">
        <f>I28*12</f>
        <v>720</v>
      </c>
      <c r="K28" s="134">
        <f>'Tabulac Hosp'!T9</f>
        <v>10</v>
      </c>
      <c r="L28" s="134">
        <f>K28*4</f>
        <v>40</v>
      </c>
      <c r="M28" s="135">
        <v>0</v>
      </c>
      <c r="N28" s="136">
        <f>M28*2</f>
        <v>0</v>
      </c>
      <c r="O28" s="136">
        <f>J28+L28+N28</f>
        <v>760</v>
      </c>
    </row>
    <row r="29" spans="8:15" ht="15.75" thickBot="1" x14ac:dyDescent="0.5">
      <c r="H29" s="133" t="s">
        <v>153</v>
      </c>
      <c r="I29" s="134">
        <f>I28*I30</f>
        <v>47.400000000000006</v>
      </c>
      <c r="J29" s="134">
        <f t="shared" ref="J29" si="16">J28*J30</f>
        <v>568.80000000000007</v>
      </c>
      <c r="K29" s="134">
        <f t="shared" ref="K29" si="17">K28*K30</f>
        <v>7.9</v>
      </c>
      <c r="L29" s="134">
        <f t="shared" ref="L29" si="18">L28*L30</f>
        <v>31.6</v>
      </c>
      <c r="M29" s="134">
        <f t="shared" ref="M29" si="19">M28*M30</f>
        <v>0</v>
      </c>
      <c r="N29" s="134">
        <f t="shared" ref="N29" si="20">N28*N30</f>
        <v>0</v>
      </c>
      <c r="O29" s="134">
        <f t="shared" ref="O29" si="21">O28*O30</f>
        <v>600.4</v>
      </c>
    </row>
    <row r="30" spans="8:15" ht="15.75" thickBot="1" x14ac:dyDescent="0.5">
      <c r="H30" s="133" t="s">
        <v>154</v>
      </c>
      <c r="I30" s="138">
        <f>$C$5</f>
        <v>0.79</v>
      </c>
      <c r="J30" s="138">
        <f t="shared" ref="J30:O30" si="22">$C$5</f>
        <v>0.79</v>
      </c>
      <c r="K30" s="138">
        <f t="shared" si="22"/>
        <v>0.79</v>
      </c>
      <c r="L30" s="138">
        <f t="shared" si="22"/>
        <v>0.79</v>
      </c>
      <c r="M30" s="138">
        <f t="shared" si="22"/>
        <v>0.79</v>
      </c>
      <c r="N30" s="138">
        <f t="shared" si="22"/>
        <v>0.79</v>
      </c>
      <c r="O30" s="138">
        <f t="shared" si="22"/>
        <v>0.79</v>
      </c>
    </row>
    <row r="32" spans="8:15" ht="14.65" thickBot="1" x14ac:dyDescent="0.5"/>
    <row r="33" spans="8:15" ht="30.4" thickBot="1" x14ac:dyDescent="0.5">
      <c r="H33" s="132" t="s">
        <v>170</v>
      </c>
      <c r="I33" s="129" t="s">
        <v>145</v>
      </c>
      <c r="J33" s="129" t="s">
        <v>146</v>
      </c>
      <c r="K33" s="129" t="s">
        <v>164</v>
      </c>
      <c r="L33" s="129" t="s">
        <v>165</v>
      </c>
      <c r="M33" s="129" t="s">
        <v>147</v>
      </c>
      <c r="N33" s="129" t="s">
        <v>148</v>
      </c>
      <c r="O33" s="132" t="s">
        <v>149</v>
      </c>
    </row>
    <row r="34" spans="8:15" ht="15.75" thickBot="1" x14ac:dyDescent="0.5">
      <c r="H34" s="133" t="s">
        <v>166</v>
      </c>
      <c r="I34" s="134">
        <f>'Tabulac Hosp'!W6+'Tabulac Hosp'!W11+'Tabulac Hosp'!W12+'Tabulac Hosp'!W14+'Tabulac Hosp'!W15+'Tabulac Hosp'!W16+'Tabulac Hosp'!W17+'Tabulac Hosp'!W19+'Tabulac Hosp'!W20</f>
        <v>620</v>
      </c>
      <c r="J34" s="134">
        <f>I34*12</f>
        <v>7440</v>
      </c>
      <c r="K34" s="134">
        <f>'Tabulac Hosp'!W9+'Tabulac Hosp'!W21+'Tabulac Hosp'!W24</f>
        <v>70</v>
      </c>
      <c r="L34" s="134">
        <f>K34*4</f>
        <v>280</v>
      </c>
      <c r="M34" s="135">
        <f>'Tabulac Hosp'!W5</f>
        <v>10</v>
      </c>
      <c r="N34" s="136">
        <f>M34*2</f>
        <v>20</v>
      </c>
      <c r="O34" s="136">
        <f>J34+L34+N34</f>
        <v>7740</v>
      </c>
    </row>
    <row r="35" spans="8:15" ht="15.75" thickBot="1" x14ac:dyDescent="0.5">
      <c r="H35" s="133" t="s">
        <v>153</v>
      </c>
      <c r="I35" s="134">
        <f>I34*I36</f>
        <v>489.8</v>
      </c>
      <c r="J35" s="134">
        <f t="shared" ref="J35" si="23">J34*J36</f>
        <v>5877.6</v>
      </c>
      <c r="K35" s="134">
        <f t="shared" ref="K35" si="24">K34*K36</f>
        <v>55.300000000000004</v>
      </c>
      <c r="L35" s="134">
        <f t="shared" ref="L35" si="25">L34*L36</f>
        <v>221.20000000000002</v>
      </c>
      <c r="M35" s="134">
        <f t="shared" ref="M35" si="26">M34*M36</f>
        <v>7.9</v>
      </c>
      <c r="N35" s="134">
        <f t="shared" ref="N35" si="27">N34*N36</f>
        <v>15.8</v>
      </c>
      <c r="O35" s="134">
        <f t="shared" ref="O35" si="28">O34*O36</f>
        <v>6114.6</v>
      </c>
    </row>
    <row r="36" spans="8:15" ht="15.75" thickBot="1" x14ac:dyDescent="0.5">
      <c r="H36" s="133" t="s">
        <v>154</v>
      </c>
      <c r="I36" s="138">
        <f>$C$5</f>
        <v>0.79</v>
      </c>
      <c r="J36" s="138">
        <f t="shared" ref="J36:O36" si="29">$C$5</f>
        <v>0.79</v>
      </c>
      <c r="K36" s="138">
        <f t="shared" si="29"/>
        <v>0.79</v>
      </c>
      <c r="L36" s="138">
        <f t="shared" si="29"/>
        <v>0.79</v>
      </c>
      <c r="M36" s="138">
        <f t="shared" si="29"/>
        <v>0.79</v>
      </c>
      <c r="N36" s="138">
        <f t="shared" si="29"/>
        <v>0.79</v>
      </c>
      <c r="O36" s="138">
        <f t="shared" si="29"/>
        <v>0.79</v>
      </c>
    </row>
  </sheetData>
  <mergeCells count="13">
    <mergeCell ref="O13:O14"/>
    <mergeCell ref="I13:I14"/>
    <mergeCell ref="J13:J14"/>
    <mergeCell ref="K13:K14"/>
    <mergeCell ref="L13:L14"/>
    <mergeCell ref="M13:M14"/>
    <mergeCell ref="N13:N14"/>
    <mergeCell ref="F5:F6"/>
    <mergeCell ref="O4:O5"/>
    <mergeCell ref="B3:B4"/>
    <mergeCell ref="C5:C6"/>
    <mergeCell ref="D5:D6"/>
    <mergeCell ref="E5: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24"/>
  <sheetViews>
    <sheetView workbookViewId="0">
      <selection activeCell="C5" sqref="C5:C6"/>
    </sheetView>
  </sheetViews>
  <sheetFormatPr baseColWidth="10" defaultColWidth="11.3984375" defaultRowHeight="14.25" x14ac:dyDescent="0.45"/>
  <cols>
    <col min="2" max="2" width="24.265625" customWidth="1"/>
    <col min="3" max="3" width="14.3984375" customWidth="1"/>
    <col min="4" max="4" width="13.1328125" customWidth="1"/>
    <col min="5" max="5" width="11.3984375" customWidth="1"/>
    <col min="6" max="6" width="14.86328125" customWidth="1"/>
    <col min="8" max="8" width="14.3984375" customWidth="1"/>
  </cols>
  <sheetData>
    <row r="1" spans="2:10" ht="15" x14ac:dyDescent="0.45">
      <c r="D1" s="111" t="s">
        <v>171</v>
      </c>
      <c r="F1" t="s">
        <v>172</v>
      </c>
      <c r="H1" s="107">
        <v>1.6E-2</v>
      </c>
      <c r="I1" t="s">
        <v>155</v>
      </c>
    </row>
    <row r="2" spans="2:10" ht="14.65" thickBot="1" x14ac:dyDescent="0.5">
      <c r="B2" s="110">
        <f>70</f>
        <v>70</v>
      </c>
      <c r="C2" s="85"/>
      <c r="D2" s="86"/>
    </row>
    <row r="3" spans="2:10" ht="30" x14ac:dyDescent="0.45">
      <c r="B3" s="530"/>
      <c r="C3" s="104" t="s">
        <v>156</v>
      </c>
      <c r="D3" s="104" t="s">
        <v>156</v>
      </c>
      <c r="E3" s="104" t="s">
        <v>173</v>
      </c>
      <c r="F3" s="104" t="s">
        <v>173</v>
      </c>
      <c r="G3" s="104" t="s">
        <v>157</v>
      </c>
      <c r="H3" s="104" t="s">
        <v>157</v>
      </c>
      <c r="I3" s="104" t="s">
        <v>159</v>
      </c>
      <c r="J3" s="104" t="s">
        <v>159</v>
      </c>
    </row>
    <row r="4" spans="2:10" ht="15.4" thickBot="1" x14ac:dyDescent="0.5">
      <c r="B4" s="531"/>
      <c r="C4" s="105" t="s">
        <v>160</v>
      </c>
      <c r="D4" s="105" t="s">
        <v>174</v>
      </c>
      <c r="E4" s="105" t="s">
        <v>160</v>
      </c>
      <c r="F4" s="105" t="s">
        <v>174</v>
      </c>
      <c r="G4" s="105" t="s">
        <v>160</v>
      </c>
      <c r="H4" s="105" t="s">
        <v>174</v>
      </c>
      <c r="I4" s="105" t="s">
        <v>160</v>
      </c>
      <c r="J4" s="105" t="s">
        <v>174</v>
      </c>
    </row>
    <row r="5" spans="2:10" ht="15" x14ac:dyDescent="0.45">
      <c r="B5" s="108" t="s">
        <v>175</v>
      </c>
      <c r="C5" s="527">
        <f>'Tabu Pre 11'!H21</f>
        <v>0.94594594594594594</v>
      </c>
      <c r="D5" s="532">
        <f>B2*C5</f>
        <v>66.21621621621621</v>
      </c>
      <c r="E5" s="527">
        <f>'Tabu Pre 11'!H23</f>
        <v>2.8571428571428571E-2</v>
      </c>
      <c r="F5" s="532">
        <f>E5*B2</f>
        <v>2</v>
      </c>
      <c r="G5" s="527">
        <f>'Tabu Pre 11'!I23</f>
        <v>0.9285714285714286</v>
      </c>
      <c r="H5" s="532">
        <f>G5*B2</f>
        <v>65</v>
      </c>
      <c r="I5" s="527">
        <f>'Tabu Pre 11'!J23</f>
        <v>4.2857142857142858E-2</v>
      </c>
      <c r="J5" s="532">
        <f>I5*B2</f>
        <v>3</v>
      </c>
    </row>
    <row r="6" spans="2:10" ht="15.4" thickBot="1" x14ac:dyDescent="0.5">
      <c r="B6" s="106" t="s">
        <v>176</v>
      </c>
      <c r="C6" s="528"/>
      <c r="D6" s="533"/>
      <c r="E6" s="528"/>
      <c r="F6" s="533"/>
      <c r="G6" s="528"/>
      <c r="H6" s="533"/>
      <c r="I6" s="528"/>
      <c r="J6" s="533"/>
    </row>
    <row r="9" spans="2:10" ht="14.65" thickBot="1" x14ac:dyDescent="0.5"/>
    <row r="10" spans="2:10" ht="30.4" thickBot="1" x14ac:dyDescent="0.5">
      <c r="B10" s="112"/>
      <c r="C10" s="129" t="s">
        <v>173</v>
      </c>
      <c r="D10" s="129" t="s">
        <v>177</v>
      </c>
      <c r="E10" s="129" t="s">
        <v>157</v>
      </c>
      <c r="F10" s="129" t="s">
        <v>178</v>
      </c>
      <c r="G10" s="129" t="s">
        <v>159</v>
      </c>
      <c r="H10" s="129" t="s">
        <v>179</v>
      </c>
      <c r="I10" s="129" t="s">
        <v>180</v>
      </c>
    </row>
    <row r="11" spans="2:10" ht="15" x14ac:dyDescent="0.45">
      <c r="B11" s="127" t="s">
        <v>175</v>
      </c>
      <c r="C11" s="534">
        <f>F5</f>
        <v>2</v>
      </c>
      <c r="D11" s="534">
        <f>C11*48</f>
        <v>96</v>
      </c>
      <c r="E11" s="534">
        <f>H5</f>
        <v>65</v>
      </c>
      <c r="F11" s="534">
        <f>E11*12</f>
        <v>780</v>
      </c>
      <c r="G11" s="534">
        <f>J5</f>
        <v>3</v>
      </c>
      <c r="H11" s="534">
        <f>G11*2</f>
        <v>6</v>
      </c>
      <c r="I11" s="534">
        <f>D11+F11+H11</f>
        <v>882</v>
      </c>
    </row>
    <row r="12" spans="2:10" ht="15.4" thickBot="1" x14ac:dyDescent="0.5">
      <c r="B12" s="128" t="s">
        <v>181</v>
      </c>
      <c r="C12" s="535"/>
      <c r="D12" s="535"/>
      <c r="E12" s="535"/>
      <c r="F12" s="535"/>
      <c r="G12" s="535"/>
      <c r="H12" s="535"/>
      <c r="I12" s="535"/>
    </row>
    <row r="13" spans="2:10" x14ac:dyDescent="0.45">
      <c r="I13" s="109">
        <f>I11</f>
        <v>882</v>
      </c>
    </row>
    <row r="15" spans="2:10" ht="14.65" thickBot="1" x14ac:dyDescent="0.5">
      <c r="B15" s="110">
        <v>70</v>
      </c>
      <c r="C15" s="85"/>
      <c r="D15" s="86"/>
    </row>
    <row r="16" spans="2:10" ht="30" x14ac:dyDescent="0.45">
      <c r="B16" s="530"/>
      <c r="C16" s="104" t="s">
        <v>156</v>
      </c>
      <c r="D16" s="104" t="s">
        <v>156</v>
      </c>
      <c r="E16" s="104" t="s">
        <v>173</v>
      </c>
      <c r="F16" s="104" t="s">
        <v>173</v>
      </c>
      <c r="G16" s="104" t="s">
        <v>157</v>
      </c>
      <c r="H16" s="104" t="s">
        <v>157</v>
      </c>
      <c r="I16" s="104" t="s">
        <v>159</v>
      </c>
      <c r="J16" s="104" t="s">
        <v>159</v>
      </c>
    </row>
    <row r="17" spans="2:10" ht="15.4" thickBot="1" x14ac:dyDescent="0.5">
      <c r="B17" s="531"/>
      <c r="C17" s="105" t="s">
        <v>160</v>
      </c>
      <c r="D17" s="105" t="s">
        <v>174</v>
      </c>
      <c r="E17" s="105" t="s">
        <v>160</v>
      </c>
      <c r="F17" s="105" t="s">
        <v>174</v>
      </c>
      <c r="G17" s="105" t="s">
        <v>160</v>
      </c>
      <c r="H17" s="105" t="s">
        <v>174</v>
      </c>
      <c r="I17" s="105" t="s">
        <v>160</v>
      </c>
      <c r="J17" s="105" t="s">
        <v>174</v>
      </c>
    </row>
    <row r="18" spans="2:10" ht="15" x14ac:dyDescent="0.45">
      <c r="B18" s="127" t="s">
        <v>175</v>
      </c>
      <c r="C18" s="527">
        <f>C5</f>
        <v>0.94594594594594594</v>
      </c>
      <c r="D18" s="532">
        <f>B15*C18</f>
        <v>66.21621621621621</v>
      </c>
      <c r="E18" s="527">
        <f>'Tabu Pre 11'!H29</f>
        <v>0.32857142857142857</v>
      </c>
      <c r="F18" s="532">
        <f>E18*B15</f>
        <v>23</v>
      </c>
      <c r="G18" s="527">
        <f>'Tabu Pre 11'!I29</f>
        <v>0.62857142857142856</v>
      </c>
      <c r="H18" s="532">
        <f>G18*B15</f>
        <v>44</v>
      </c>
      <c r="I18" s="527">
        <f>'Tabu Pre 11'!J29</f>
        <v>4.2857142857142858E-2</v>
      </c>
      <c r="J18" s="532">
        <f>I18*B15</f>
        <v>3</v>
      </c>
    </row>
    <row r="19" spans="2:10" ht="15.4" thickBot="1" x14ac:dyDescent="0.5">
      <c r="B19" s="128" t="s">
        <v>182</v>
      </c>
      <c r="C19" s="528"/>
      <c r="D19" s="533"/>
      <c r="E19" s="528"/>
      <c r="F19" s="533"/>
      <c r="G19" s="528"/>
      <c r="H19" s="533"/>
      <c r="I19" s="528"/>
      <c r="J19" s="533"/>
    </row>
    <row r="20" spans="2:10" ht="14.65" thickBot="1" x14ac:dyDescent="0.5"/>
    <row r="21" spans="2:10" ht="30.4" thickBot="1" x14ac:dyDescent="0.5">
      <c r="B21" s="112"/>
      <c r="C21" s="129" t="s">
        <v>173</v>
      </c>
      <c r="D21" s="129" t="s">
        <v>177</v>
      </c>
      <c r="E21" s="129" t="s">
        <v>157</v>
      </c>
      <c r="F21" s="129" t="s">
        <v>178</v>
      </c>
      <c r="G21" s="129" t="s">
        <v>159</v>
      </c>
      <c r="H21" s="129" t="s">
        <v>179</v>
      </c>
      <c r="I21" s="129" t="s">
        <v>180</v>
      </c>
    </row>
    <row r="22" spans="2:10" ht="15" x14ac:dyDescent="0.45">
      <c r="B22" s="127" t="s">
        <v>175</v>
      </c>
      <c r="C22" s="534">
        <f>F18</f>
        <v>23</v>
      </c>
      <c r="D22" s="534">
        <f>C22*48</f>
        <v>1104</v>
      </c>
      <c r="E22" s="534">
        <f>H18</f>
        <v>44</v>
      </c>
      <c r="F22" s="534">
        <f>E22*12</f>
        <v>528</v>
      </c>
      <c r="G22" s="534">
        <f>G11</f>
        <v>3</v>
      </c>
      <c r="H22" s="534">
        <f>G22*2</f>
        <v>6</v>
      </c>
      <c r="I22" s="534">
        <f>D22+F22+H22</f>
        <v>1638</v>
      </c>
    </row>
    <row r="23" spans="2:10" ht="15.4" thickBot="1" x14ac:dyDescent="0.5">
      <c r="B23" s="128" t="s">
        <v>182</v>
      </c>
      <c r="C23" s="535"/>
      <c r="D23" s="535"/>
      <c r="E23" s="535"/>
      <c r="F23" s="535"/>
      <c r="G23" s="535"/>
      <c r="H23" s="535"/>
      <c r="I23" s="535"/>
    </row>
    <row r="24" spans="2:10" x14ac:dyDescent="0.45">
      <c r="I24" s="109">
        <f>I22</f>
        <v>1638</v>
      </c>
    </row>
  </sheetData>
  <mergeCells count="32">
    <mergeCell ref="C22:C23"/>
    <mergeCell ref="D22:D23"/>
    <mergeCell ref="E22:E23"/>
    <mergeCell ref="F22:F23"/>
    <mergeCell ref="G22:G23"/>
    <mergeCell ref="I5:I6"/>
    <mergeCell ref="H22:H23"/>
    <mergeCell ref="I22:I23"/>
    <mergeCell ref="G18:G19"/>
    <mergeCell ref="H18:H19"/>
    <mergeCell ref="I18:I19"/>
    <mergeCell ref="F5:F6"/>
    <mergeCell ref="G5:G6"/>
    <mergeCell ref="H5:H6"/>
    <mergeCell ref="E18:E19"/>
    <mergeCell ref="F18:F19"/>
    <mergeCell ref="J18:J19"/>
    <mergeCell ref="B3:B4"/>
    <mergeCell ref="C5:C6"/>
    <mergeCell ref="D5:D6"/>
    <mergeCell ref="E5:E6"/>
    <mergeCell ref="J5:J6"/>
    <mergeCell ref="C11:C12"/>
    <mergeCell ref="D11:D12"/>
    <mergeCell ref="E11:E12"/>
    <mergeCell ref="F11:F12"/>
    <mergeCell ref="G11:G12"/>
    <mergeCell ref="H11:H12"/>
    <mergeCell ref="I11:I12"/>
    <mergeCell ref="B16:B17"/>
    <mergeCell ref="C18:C19"/>
    <mergeCell ref="D18:D19"/>
  </mergeCells>
  <pageMargins left="0.7" right="0.7" top="0.75" bottom="0.75" header="0.3" footer="0.3"/>
  <ignoredErrors>
    <ignoredError sqref="F11 D11 D2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1"/>
  <sheetViews>
    <sheetView workbookViewId="0">
      <selection activeCell="V11" sqref="V11"/>
    </sheetView>
  </sheetViews>
  <sheetFormatPr baseColWidth="10" defaultColWidth="11.3984375" defaultRowHeight="14.25" x14ac:dyDescent="0.45"/>
  <cols>
    <col min="1" max="1" width="37.265625" customWidth="1"/>
    <col min="2" max="2" width="10.59765625" customWidth="1"/>
    <col min="3" max="3" width="9.265625" customWidth="1"/>
    <col min="4" max="4" width="10.1328125" customWidth="1"/>
    <col min="5" max="5" width="9.265625" customWidth="1"/>
    <col min="6" max="6" width="12.3984375" customWidth="1"/>
    <col min="9" max="9" width="23.3984375" customWidth="1"/>
    <col min="10" max="11" width="9.3984375" customWidth="1"/>
    <col min="12" max="12" width="9.59765625" customWidth="1"/>
    <col min="14" max="14" width="10.86328125" customWidth="1"/>
  </cols>
  <sheetData>
    <row r="1" spans="1:19" x14ac:dyDescent="0.45">
      <c r="C1" s="107">
        <f>'Frac Mer Ho SER'!H1</f>
        <v>1.6E-2</v>
      </c>
    </row>
    <row r="2" spans="1:19" x14ac:dyDescent="0.45">
      <c r="B2">
        <v>1</v>
      </c>
      <c r="C2">
        <v>2</v>
      </c>
      <c r="D2">
        <v>3</v>
      </c>
      <c r="E2">
        <v>4</v>
      </c>
      <c r="F2">
        <v>5</v>
      </c>
      <c r="J2">
        <v>1</v>
      </c>
      <c r="K2">
        <v>2</v>
      </c>
      <c r="L2">
        <v>3</v>
      </c>
      <c r="M2">
        <v>4</v>
      </c>
      <c r="N2">
        <v>5</v>
      </c>
    </row>
    <row r="3" spans="1:19" ht="15.75" x14ac:dyDescent="0.5">
      <c r="A3" s="319" t="s">
        <v>183</v>
      </c>
      <c r="B3" s="319" t="s">
        <v>184</v>
      </c>
      <c r="C3" s="319" t="s">
        <v>185</v>
      </c>
      <c r="D3" s="319" t="s">
        <v>186</v>
      </c>
      <c r="E3" s="319" t="s">
        <v>187</v>
      </c>
      <c r="F3" s="319" t="s">
        <v>188</v>
      </c>
      <c r="G3" s="320"/>
      <c r="H3" s="321" t="s">
        <v>189</v>
      </c>
      <c r="I3" s="321"/>
      <c r="J3" s="319" t="s">
        <v>184</v>
      </c>
      <c r="K3" s="319" t="s">
        <v>185</v>
      </c>
      <c r="L3" s="319" t="s">
        <v>186</v>
      </c>
      <c r="M3" s="319" t="s">
        <v>187</v>
      </c>
      <c r="N3" s="319" t="s">
        <v>188</v>
      </c>
      <c r="O3" s="320"/>
      <c r="Q3" s="111"/>
    </row>
    <row r="4" spans="1:19" ht="15.75" x14ac:dyDescent="0.5">
      <c r="A4" s="319" t="s">
        <v>190</v>
      </c>
      <c r="B4" s="322">
        <f>'Frac hos cli '!O9</f>
        <v>19080</v>
      </c>
      <c r="C4" s="322">
        <f>$B$4*(1+B2)^$C$1</f>
        <v>19292.781702642882</v>
      </c>
      <c r="D4" s="322">
        <f t="shared" ref="D4:F4" si="0">$B$4*(1+C2)^$C$1</f>
        <v>19418.349365796283</v>
      </c>
      <c r="E4" s="322">
        <f t="shared" si="0"/>
        <v>19507.936364037319</v>
      </c>
      <c r="F4" s="322">
        <f t="shared" si="0"/>
        <v>19577.70996934615</v>
      </c>
      <c r="G4" s="320"/>
      <c r="H4" s="321" t="s">
        <v>190</v>
      </c>
      <c r="I4" s="321"/>
      <c r="J4" s="322">
        <f>B4+B10+B16+B23+B30+B36</f>
        <v>47600</v>
      </c>
      <c r="K4" s="322">
        <f t="shared" ref="J4:N5" si="1">C4+C10+C16+C23+C30+C36</f>
        <v>48269.101702642882</v>
      </c>
      <c r="L4" s="322">
        <f t="shared" si="1"/>
        <v>48858.290485796286</v>
      </c>
      <c r="M4" s="322">
        <f t="shared" si="1"/>
        <v>49418.916541957318</v>
      </c>
      <c r="N4" s="322">
        <f t="shared" si="1"/>
        <v>49967.265830112869</v>
      </c>
      <c r="O4" s="320"/>
    </row>
    <row r="5" spans="1:19" ht="15.75" x14ac:dyDescent="0.5">
      <c r="A5" s="319" t="s">
        <v>153</v>
      </c>
      <c r="B5" s="323">
        <f>B4*B6</f>
        <v>16981.2</v>
      </c>
      <c r="C5" s="323">
        <f t="shared" ref="C5:F5" si="2">C4*C6</f>
        <v>17170.575715352166</v>
      </c>
      <c r="D5" s="323">
        <f t="shared" si="2"/>
        <v>17282.330935558693</v>
      </c>
      <c r="E5" s="323">
        <f t="shared" si="2"/>
        <v>17362.063363993213</v>
      </c>
      <c r="F5" s="323">
        <f t="shared" si="2"/>
        <v>17424.161872718072</v>
      </c>
      <c r="G5" s="320"/>
      <c r="H5" s="321" t="s">
        <v>153</v>
      </c>
      <c r="I5" s="321"/>
      <c r="J5" s="323">
        <f t="shared" si="1"/>
        <v>43360.138000000006</v>
      </c>
      <c r="K5" s="323">
        <f t="shared" si="1"/>
        <v>43971.576723352162</v>
      </c>
      <c r="L5" s="323">
        <f t="shared" si="1"/>
        <v>44512.147959686699</v>
      </c>
      <c r="M5" s="323">
        <f t="shared" si="1"/>
        <v>45027.557460507262</v>
      </c>
      <c r="N5" s="323">
        <f t="shared" si="1"/>
        <v>45532.303874776349</v>
      </c>
      <c r="O5" s="320"/>
    </row>
    <row r="6" spans="1:19" ht="15.75" x14ac:dyDescent="0.5">
      <c r="A6" s="319" t="s">
        <v>154</v>
      </c>
      <c r="B6" s="324">
        <v>0.89</v>
      </c>
      <c r="C6" s="324">
        <v>0.89</v>
      </c>
      <c r="D6" s="324">
        <v>0.89</v>
      </c>
      <c r="E6" s="324">
        <v>0.89</v>
      </c>
      <c r="F6" s="324">
        <v>0.89</v>
      </c>
      <c r="G6" s="320"/>
      <c r="H6" s="321" t="s">
        <v>154</v>
      </c>
      <c r="I6" s="321"/>
      <c r="J6" s="324">
        <v>0.89</v>
      </c>
      <c r="K6" s="324">
        <v>0.89</v>
      </c>
      <c r="L6" s="324">
        <v>0.89</v>
      </c>
      <c r="M6" s="324">
        <v>0.89</v>
      </c>
      <c r="N6" s="324">
        <v>0.89</v>
      </c>
      <c r="O6" s="320"/>
    </row>
    <row r="7" spans="1:19" ht="15.75" x14ac:dyDescent="0.5">
      <c r="A7" s="325"/>
      <c r="B7" s="325"/>
      <c r="C7" s="325"/>
      <c r="D7" s="325"/>
      <c r="E7" s="325"/>
      <c r="F7" s="325"/>
      <c r="G7" s="320"/>
      <c r="H7" s="320"/>
      <c r="I7" s="320"/>
      <c r="J7" s="320">
        <f>J4*J6</f>
        <v>42364</v>
      </c>
      <c r="K7" s="320">
        <f>K4*89%</f>
        <v>42959.500515352163</v>
      </c>
      <c r="L7" s="320"/>
      <c r="M7" s="320"/>
      <c r="N7" s="320"/>
      <c r="O7" s="320"/>
    </row>
    <row r="8" spans="1:19" ht="15.75" x14ac:dyDescent="0.5">
      <c r="A8" s="325"/>
      <c r="B8" s="325">
        <v>1</v>
      </c>
      <c r="C8" s="325">
        <v>2</v>
      </c>
      <c r="D8" s="325">
        <v>3</v>
      </c>
      <c r="E8" s="325">
        <v>4</v>
      </c>
      <c r="F8" s="325">
        <v>5</v>
      </c>
      <c r="G8" s="320"/>
      <c r="H8" s="320"/>
      <c r="I8" s="320"/>
      <c r="J8" s="320">
        <v>1</v>
      </c>
      <c r="K8" s="320">
        <v>2</v>
      </c>
      <c r="L8" s="320">
        <v>3</v>
      </c>
      <c r="M8" s="320">
        <v>4</v>
      </c>
      <c r="N8" s="320">
        <v>5</v>
      </c>
      <c r="O8" s="320"/>
    </row>
    <row r="9" spans="1:19" ht="15.75" x14ac:dyDescent="0.5">
      <c r="A9" s="321" t="s">
        <v>191</v>
      </c>
      <c r="B9" s="319" t="s">
        <v>184</v>
      </c>
      <c r="C9" s="319" t="s">
        <v>185</v>
      </c>
      <c r="D9" s="319" t="s">
        <v>186</v>
      </c>
      <c r="E9" s="319" t="s">
        <v>187</v>
      </c>
      <c r="F9" s="319" t="s">
        <v>188</v>
      </c>
      <c r="G9" s="320"/>
      <c r="H9" s="321" t="s">
        <v>192</v>
      </c>
      <c r="I9" s="321"/>
      <c r="J9" s="319" t="s">
        <v>184</v>
      </c>
      <c r="K9" s="319" t="s">
        <v>185</v>
      </c>
      <c r="L9" s="319" t="s">
        <v>186</v>
      </c>
      <c r="M9" s="319" t="s">
        <v>187</v>
      </c>
      <c r="N9" s="319" t="s">
        <v>188</v>
      </c>
      <c r="O9" s="320"/>
    </row>
    <row r="10" spans="1:19" ht="15.75" x14ac:dyDescent="0.5">
      <c r="A10" s="321" t="s">
        <v>190</v>
      </c>
      <c r="B10" s="322">
        <f>'Frac hos cli '!O16</f>
        <v>1680</v>
      </c>
      <c r="C10" s="322">
        <f>$B$10*(1+$C$1)^B8</f>
        <v>1706.88</v>
      </c>
      <c r="D10" s="322">
        <f t="shared" ref="D10:F10" si="3">$B$10*(1+$C$1)^C8</f>
        <v>1734.1900800000001</v>
      </c>
      <c r="E10" s="322">
        <f t="shared" si="3"/>
        <v>1761.9371212799999</v>
      </c>
      <c r="F10" s="322">
        <f t="shared" si="3"/>
        <v>1790.1281152204801</v>
      </c>
      <c r="G10" s="320"/>
      <c r="H10" s="321" t="s">
        <v>190</v>
      </c>
      <c r="I10" s="326"/>
      <c r="J10" s="327">
        <f>S13</f>
        <v>882</v>
      </c>
      <c r="K10" s="327">
        <f>S14</f>
        <v>896.11199999999997</v>
      </c>
      <c r="L10" s="327">
        <f>S15</f>
        <v>910.449792</v>
      </c>
      <c r="M10" s="327">
        <f>S16</f>
        <v>925.01698867200002</v>
      </c>
      <c r="N10" s="327">
        <f>S17</f>
        <v>939.81726049075201</v>
      </c>
      <c r="O10" s="320"/>
      <c r="P10" s="107">
        <v>1.6E-2</v>
      </c>
      <c r="Q10" t="s">
        <v>155</v>
      </c>
    </row>
    <row r="11" spans="1:19" ht="15.75" x14ac:dyDescent="0.5">
      <c r="A11" s="321" t="s">
        <v>153</v>
      </c>
      <c r="B11" s="323">
        <f>B10*B12</f>
        <v>1495.2</v>
      </c>
      <c r="C11" s="323">
        <f t="shared" ref="C11" si="4">C10*C12</f>
        <v>1519.1232000000002</v>
      </c>
      <c r="D11" s="323">
        <f t="shared" ref="D11" si="5">D10*D12</f>
        <v>1543.4291712000002</v>
      </c>
      <c r="E11" s="323">
        <f t="shared" ref="E11" si="6">E10*E12</f>
        <v>1568.1240379392</v>
      </c>
      <c r="F11" s="323">
        <f t="shared" ref="F11" si="7">F10*F12</f>
        <v>1593.2140225462274</v>
      </c>
      <c r="G11" s="320"/>
      <c r="H11" s="321" t="s">
        <v>153</v>
      </c>
      <c r="I11" s="326"/>
      <c r="J11" s="326">
        <f>J10*J12</f>
        <v>834.28379999999993</v>
      </c>
      <c r="K11" s="326">
        <f t="shared" ref="K11:N11" si="8">K10*K12</f>
        <v>847.63234079999995</v>
      </c>
      <c r="L11" s="326">
        <f t="shared" si="8"/>
        <v>861.19445825280002</v>
      </c>
      <c r="M11" s="326">
        <f t="shared" si="8"/>
        <v>874.97356958484477</v>
      </c>
      <c r="N11" s="326">
        <f t="shared" si="8"/>
        <v>888.9731466982023</v>
      </c>
      <c r="O11" s="320"/>
      <c r="S11" s="113" t="s">
        <v>193</v>
      </c>
    </row>
    <row r="12" spans="1:19" ht="15.75" x14ac:dyDescent="0.5">
      <c r="A12" s="321" t="s">
        <v>154</v>
      </c>
      <c r="B12" s="324">
        <v>0.89</v>
      </c>
      <c r="C12" s="324">
        <v>0.89</v>
      </c>
      <c r="D12" s="324">
        <v>0.89</v>
      </c>
      <c r="E12" s="324">
        <v>0.89</v>
      </c>
      <c r="F12" s="324">
        <v>0.89</v>
      </c>
      <c r="G12" s="320"/>
      <c r="H12" s="321" t="s">
        <v>154</v>
      </c>
      <c r="I12" s="321"/>
      <c r="J12" s="328">
        <f>B38</f>
        <v>0.94589999999999996</v>
      </c>
      <c r="K12" s="328">
        <f t="shared" ref="K12:N12" si="9">C38</f>
        <v>0.94589999999999996</v>
      </c>
      <c r="L12" s="328">
        <f t="shared" si="9"/>
        <v>0.94589999999999996</v>
      </c>
      <c r="M12" s="328">
        <f t="shared" si="9"/>
        <v>0.94589999999999996</v>
      </c>
      <c r="N12" s="328">
        <f t="shared" si="9"/>
        <v>0.94589999999999996</v>
      </c>
      <c r="O12" s="320"/>
      <c r="Q12" t="s">
        <v>194</v>
      </c>
      <c r="R12" s="140" t="s">
        <v>195</v>
      </c>
      <c r="S12" s="7" t="s">
        <v>196</v>
      </c>
    </row>
    <row r="13" spans="1:19" ht="15.75" x14ac:dyDescent="0.5">
      <c r="A13" s="325"/>
      <c r="B13" s="325"/>
      <c r="C13" s="325"/>
      <c r="D13" s="325"/>
      <c r="E13" s="325"/>
      <c r="F13" s="325"/>
      <c r="G13" s="320"/>
      <c r="H13" s="320"/>
      <c r="I13" s="320"/>
      <c r="J13" s="320"/>
      <c r="K13" s="320"/>
      <c r="L13" s="320"/>
      <c r="M13" s="320"/>
      <c r="N13" s="320"/>
      <c r="O13" s="320"/>
      <c r="R13" s="7">
        <v>1</v>
      </c>
      <c r="S13" s="114">
        <f>'Frac Mer Ho SER'!I13</f>
        <v>882</v>
      </c>
    </row>
    <row r="14" spans="1:19" ht="15.75" x14ac:dyDescent="0.5">
      <c r="A14" s="325"/>
      <c r="B14" s="325">
        <v>1</v>
      </c>
      <c r="C14" s="325">
        <v>2</v>
      </c>
      <c r="D14" s="325">
        <v>3</v>
      </c>
      <c r="E14" s="325">
        <v>4</v>
      </c>
      <c r="F14" s="325">
        <v>5</v>
      </c>
      <c r="G14" s="320"/>
      <c r="H14" s="320"/>
      <c r="I14" s="320"/>
      <c r="J14" s="320"/>
      <c r="K14" s="320"/>
      <c r="L14" s="320"/>
      <c r="M14" s="320"/>
      <c r="N14" s="320"/>
      <c r="O14" s="320"/>
      <c r="R14" s="7">
        <v>2</v>
      </c>
      <c r="S14" s="114">
        <f>$S$13*(1+$P$10)^R13</f>
        <v>896.11199999999997</v>
      </c>
    </row>
    <row r="15" spans="1:19" ht="15.75" x14ac:dyDescent="0.5">
      <c r="A15" s="321" t="s">
        <v>197</v>
      </c>
      <c r="B15" s="319" t="s">
        <v>184</v>
      </c>
      <c r="C15" s="319" t="s">
        <v>185</v>
      </c>
      <c r="D15" s="319" t="s">
        <v>186</v>
      </c>
      <c r="E15" s="319" t="s">
        <v>187</v>
      </c>
      <c r="F15" s="319" t="s">
        <v>188</v>
      </c>
      <c r="G15" s="320"/>
      <c r="H15" s="320"/>
      <c r="I15" s="320"/>
      <c r="J15" s="320">
        <v>1</v>
      </c>
      <c r="K15" s="320">
        <v>2</v>
      </c>
      <c r="L15" s="320">
        <v>3</v>
      </c>
      <c r="M15" s="320">
        <v>4</v>
      </c>
      <c r="N15" s="320">
        <v>5</v>
      </c>
      <c r="O15" s="320"/>
      <c r="R15" s="7">
        <v>3</v>
      </c>
      <c r="S15" s="114">
        <f>$S$13*(1+$P$10)^R14</f>
        <v>910.449792</v>
      </c>
    </row>
    <row r="16" spans="1:19" ht="15.75" x14ac:dyDescent="0.5">
      <c r="A16" s="321" t="s">
        <v>190</v>
      </c>
      <c r="B16" s="322">
        <f>'Frac hos cli '!O22</f>
        <v>520</v>
      </c>
      <c r="C16" s="322">
        <f>$B$16*(1+$C$1)^B14</f>
        <v>528.32000000000005</v>
      </c>
      <c r="D16" s="322">
        <f t="shared" ref="D16:F16" si="10">$B$16*(1+$C$1)^C14</f>
        <v>536.77312000000006</v>
      </c>
      <c r="E16" s="322">
        <f t="shared" si="10"/>
        <v>545.36148991999994</v>
      </c>
      <c r="F16" s="322">
        <f t="shared" si="10"/>
        <v>554.08727375872002</v>
      </c>
      <c r="G16" s="320"/>
      <c r="H16" s="321" t="s">
        <v>198</v>
      </c>
      <c r="I16" s="321"/>
      <c r="J16" s="319" t="s">
        <v>184</v>
      </c>
      <c r="K16" s="319" t="s">
        <v>185</v>
      </c>
      <c r="L16" s="319" t="s">
        <v>186</v>
      </c>
      <c r="M16" s="319" t="s">
        <v>187</v>
      </c>
      <c r="N16" s="319" t="s">
        <v>188</v>
      </c>
      <c r="O16" s="320"/>
      <c r="R16" s="7">
        <v>4</v>
      </c>
      <c r="S16" s="114">
        <f>$S$13*(1+$P$10)^R15</f>
        <v>925.01698867200002</v>
      </c>
    </row>
    <row r="17" spans="1:19" ht="15.75" x14ac:dyDescent="0.5">
      <c r="A17" s="321" t="s">
        <v>153</v>
      </c>
      <c r="B17" s="323">
        <f>B16*B18</f>
        <v>462.8</v>
      </c>
      <c r="C17" s="323">
        <f t="shared" ref="C17" si="11">C16*C18</f>
        <v>470.20480000000003</v>
      </c>
      <c r="D17" s="323">
        <f t="shared" ref="D17" si="12">D16*D18</f>
        <v>477.72807680000005</v>
      </c>
      <c r="E17" s="323">
        <f t="shared" ref="E17" si="13">E16*E18</f>
        <v>485.37172602879997</v>
      </c>
      <c r="F17" s="323">
        <f t="shared" ref="F17" si="14">F16*F18</f>
        <v>493.1376736452608</v>
      </c>
      <c r="G17" s="320"/>
      <c r="H17" s="321" t="s">
        <v>190</v>
      </c>
      <c r="I17" s="326"/>
      <c r="J17" s="327">
        <f>S20</f>
        <v>1638</v>
      </c>
      <c r="K17" s="327">
        <f>S21</f>
        <v>1664.2080000000001</v>
      </c>
      <c r="L17" s="327">
        <f>S22</f>
        <v>1690.8353280000001</v>
      </c>
      <c r="M17" s="327">
        <f>S23</f>
        <v>1717.888693248</v>
      </c>
      <c r="N17" s="327">
        <f>S24</f>
        <v>1745.374912339968</v>
      </c>
      <c r="O17" s="320"/>
      <c r="R17" s="7">
        <v>5</v>
      </c>
      <c r="S17" s="114">
        <f>$S$13*(1+$P$10)^R16</f>
        <v>939.81726049075201</v>
      </c>
    </row>
    <row r="18" spans="1:19" ht="15.75" x14ac:dyDescent="0.5">
      <c r="A18" s="321" t="s">
        <v>154</v>
      </c>
      <c r="B18" s="324">
        <v>0.89</v>
      </c>
      <c r="C18" s="324">
        <v>0.89</v>
      </c>
      <c r="D18" s="324">
        <v>0.89</v>
      </c>
      <c r="E18" s="324">
        <v>0.89</v>
      </c>
      <c r="F18" s="324">
        <v>0.89</v>
      </c>
      <c r="G18" s="320"/>
      <c r="H18" s="321" t="s">
        <v>153</v>
      </c>
      <c r="I18" s="326"/>
      <c r="J18" s="326">
        <f>J17*J19</f>
        <v>1549.3842</v>
      </c>
      <c r="K18" s="326">
        <f t="shared" ref="K18:N18" si="15">K17*K19</f>
        <v>1574.1743472000001</v>
      </c>
      <c r="L18" s="326">
        <f t="shared" si="15"/>
        <v>1599.3611367552001</v>
      </c>
      <c r="M18" s="326">
        <f t="shared" si="15"/>
        <v>1624.9509149432831</v>
      </c>
      <c r="N18" s="326">
        <f t="shared" si="15"/>
        <v>1650.9501295823757</v>
      </c>
      <c r="O18" s="320"/>
    </row>
    <row r="19" spans="1:19" ht="15.75" x14ac:dyDescent="0.5">
      <c r="A19" s="325"/>
      <c r="B19" s="325"/>
      <c r="C19" s="325"/>
      <c r="D19" s="325"/>
      <c r="E19" s="325"/>
      <c r="F19" s="325"/>
      <c r="G19" s="320"/>
      <c r="H19" s="321" t="s">
        <v>154</v>
      </c>
      <c r="I19" s="321"/>
      <c r="J19" s="328">
        <f>J12</f>
        <v>0.94589999999999996</v>
      </c>
      <c r="K19" s="328">
        <f t="shared" ref="K19:N19" si="16">K12</f>
        <v>0.94589999999999996</v>
      </c>
      <c r="L19" s="328">
        <f t="shared" si="16"/>
        <v>0.94589999999999996</v>
      </c>
      <c r="M19" s="328">
        <f t="shared" si="16"/>
        <v>0.94589999999999996</v>
      </c>
      <c r="N19" s="328">
        <f t="shared" si="16"/>
        <v>0.94589999999999996</v>
      </c>
      <c r="O19" s="320"/>
      <c r="R19" s="140" t="s">
        <v>195</v>
      </c>
      <c r="S19" s="7" t="s">
        <v>196</v>
      </c>
    </row>
    <row r="20" spans="1:19" ht="15.75" x14ac:dyDescent="0.5">
      <c r="A20" s="325"/>
      <c r="B20" s="325"/>
      <c r="C20" s="325"/>
      <c r="D20" s="325"/>
      <c r="E20" s="325"/>
      <c r="F20" s="325"/>
      <c r="G20" s="320"/>
      <c r="H20" s="320"/>
      <c r="I20" s="320"/>
      <c r="J20" s="320"/>
      <c r="K20" s="320"/>
      <c r="L20" s="320"/>
      <c r="M20" s="320"/>
      <c r="N20" s="320"/>
      <c r="O20" s="320"/>
      <c r="R20" s="7">
        <v>1</v>
      </c>
      <c r="S20" s="114">
        <f>'Frac Mer Ho SER'!I24</f>
        <v>1638</v>
      </c>
    </row>
    <row r="21" spans="1:19" ht="15.75" x14ac:dyDescent="0.5">
      <c r="A21" s="325"/>
      <c r="B21" s="325">
        <v>1</v>
      </c>
      <c r="C21" s="325">
        <v>2</v>
      </c>
      <c r="D21" s="325">
        <v>3</v>
      </c>
      <c r="E21" s="325">
        <v>4</v>
      </c>
      <c r="F21" s="325">
        <v>5</v>
      </c>
      <c r="G21" s="320"/>
      <c r="H21" s="320"/>
      <c r="I21" s="320"/>
      <c r="J21" s="320"/>
      <c r="K21" s="320"/>
      <c r="L21" s="320"/>
      <c r="M21" s="320"/>
      <c r="N21" s="320"/>
      <c r="O21" s="320"/>
      <c r="R21" s="7">
        <v>2</v>
      </c>
      <c r="S21" s="114">
        <f>$S$20*(1+$P$10)^R20</f>
        <v>1664.2080000000001</v>
      </c>
    </row>
    <row r="22" spans="1:19" ht="15.75" x14ac:dyDescent="0.5">
      <c r="A22" s="321" t="s">
        <v>199</v>
      </c>
      <c r="B22" s="319" t="s">
        <v>184</v>
      </c>
      <c r="C22" s="319" t="s">
        <v>185</v>
      </c>
      <c r="D22" s="319" t="s">
        <v>186</v>
      </c>
      <c r="E22" s="319" t="s">
        <v>187</v>
      </c>
      <c r="F22" s="319" t="s">
        <v>188</v>
      </c>
      <c r="G22" s="320"/>
      <c r="H22" s="320"/>
      <c r="I22" s="320"/>
      <c r="J22" s="320"/>
      <c r="K22" s="320"/>
      <c r="L22" s="320"/>
      <c r="M22" s="320"/>
      <c r="N22" s="320"/>
      <c r="O22" s="320"/>
      <c r="R22" s="7">
        <v>3</v>
      </c>
      <c r="S22" s="114">
        <f t="shared" ref="S22:S24" si="17">$S$20*(1+$P$10)^R21</f>
        <v>1690.8353280000001</v>
      </c>
    </row>
    <row r="23" spans="1:19" ht="15.75" x14ac:dyDescent="0.5">
      <c r="A23" s="321" t="s">
        <v>190</v>
      </c>
      <c r="B23" s="322">
        <f>'Frac hos cli '!O28</f>
        <v>760</v>
      </c>
      <c r="C23" s="322">
        <f>$B$23*(1+$C$1)^B21</f>
        <v>772.16</v>
      </c>
      <c r="D23" s="322">
        <f t="shared" ref="D23:F23" si="18">$B$23*(1+$C$1)^C21</f>
        <v>784.51456000000007</v>
      </c>
      <c r="E23" s="322">
        <f t="shared" si="18"/>
        <v>797.06679296000004</v>
      </c>
      <c r="F23" s="322">
        <f t="shared" si="18"/>
        <v>809.81986164735997</v>
      </c>
      <c r="G23" s="320"/>
      <c r="H23" s="320"/>
      <c r="I23" s="320"/>
      <c r="J23" s="320"/>
      <c r="K23" s="320"/>
      <c r="L23" s="320"/>
      <c r="M23" s="320"/>
      <c r="N23" s="320"/>
      <c r="O23" s="320"/>
      <c r="R23" s="7">
        <v>4</v>
      </c>
      <c r="S23" s="114">
        <f t="shared" si="17"/>
        <v>1717.888693248</v>
      </c>
    </row>
    <row r="24" spans="1:19" ht="15.75" x14ac:dyDescent="0.5">
      <c r="A24" s="321" t="s">
        <v>153</v>
      </c>
      <c r="B24" s="323">
        <f>B23*B25</f>
        <v>676.4</v>
      </c>
      <c r="C24" s="323">
        <f t="shared" ref="C24" si="19">C23*C25</f>
        <v>687.22239999999999</v>
      </c>
      <c r="D24" s="323">
        <f t="shared" ref="D24" si="20">D23*D25</f>
        <v>698.21795840000004</v>
      </c>
      <c r="E24" s="323">
        <f t="shared" ref="E24" si="21">E23*E25</f>
        <v>709.38944573440006</v>
      </c>
      <c r="F24" s="323">
        <f t="shared" ref="F24" si="22">F23*F25</f>
        <v>720.73967686615038</v>
      </c>
      <c r="G24" s="320"/>
      <c r="H24" s="320"/>
      <c r="I24" s="320"/>
      <c r="J24" s="320"/>
      <c r="K24" s="320"/>
      <c r="L24" s="320"/>
      <c r="M24" s="320"/>
      <c r="N24" s="320"/>
      <c r="O24" s="320"/>
      <c r="R24" s="7">
        <v>5</v>
      </c>
      <c r="S24" s="114">
        <f t="shared" si="17"/>
        <v>1745.374912339968</v>
      </c>
    </row>
    <row r="25" spans="1:19" ht="15.75" x14ac:dyDescent="0.5">
      <c r="A25" s="321" t="s">
        <v>154</v>
      </c>
      <c r="B25" s="324">
        <v>0.89</v>
      </c>
      <c r="C25" s="324">
        <v>0.89</v>
      </c>
      <c r="D25" s="324">
        <v>0.89</v>
      </c>
      <c r="E25" s="324">
        <v>0.89</v>
      </c>
      <c r="F25" s="324">
        <v>0.89</v>
      </c>
      <c r="G25" s="320"/>
      <c r="H25" s="320"/>
      <c r="I25" s="320"/>
      <c r="J25" s="320"/>
      <c r="K25" s="320"/>
      <c r="L25" s="320"/>
      <c r="M25" s="320"/>
      <c r="N25" s="320"/>
      <c r="O25" s="320"/>
    </row>
    <row r="26" spans="1:19" ht="15.75" x14ac:dyDescent="0.5">
      <c r="A26" s="325"/>
      <c r="B26" s="325"/>
      <c r="C26" s="325"/>
      <c r="D26" s="325"/>
      <c r="E26" s="325"/>
      <c r="F26" s="325"/>
      <c r="G26" s="320"/>
      <c r="H26" s="320"/>
      <c r="I26" s="320"/>
      <c r="J26" s="320"/>
      <c r="K26" s="320"/>
      <c r="L26" s="320"/>
      <c r="M26" s="320"/>
      <c r="N26" s="320"/>
      <c r="O26" s="320"/>
    </row>
    <row r="27" spans="1:19" ht="15.75" x14ac:dyDescent="0.5">
      <c r="A27" s="325"/>
      <c r="B27" s="325"/>
      <c r="C27" s="325"/>
      <c r="D27" s="325"/>
      <c r="E27" s="325"/>
      <c r="F27" s="325"/>
      <c r="G27" s="320"/>
      <c r="H27" s="320"/>
      <c r="I27" s="320"/>
      <c r="J27" s="320"/>
      <c r="K27" s="320"/>
      <c r="L27" s="320"/>
      <c r="M27" s="320"/>
      <c r="N27" s="320"/>
      <c r="O27" s="320"/>
    </row>
    <row r="28" spans="1:19" ht="15.75" x14ac:dyDescent="0.5">
      <c r="A28" s="325"/>
      <c r="B28" s="325">
        <v>1</v>
      </c>
      <c r="C28" s="325">
        <v>2</v>
      </c>
      <c r="D28" s="325">
        <v>3</v>
      </c>
      <c r="E28" s="325">
        <v>4</v>
      </c>
      <c r="F28" s="325">
        <v>5</v>
      </c>
      <c r="G28" s="320"/>
      <c r="H28" s="320"/>
      <c r="I28" s="320"/>
      <c r="J28" s="320"/>
      <c r="K28" s="320"/>
      <c r="L28" s="320"/>
      <c r="M28" s="320"/>
      <c r="N28" s="320"/>
      <c r="O28" s="320"/>
    </row>
    <row r="29" spans="1:19" ht="15.75" x14ac:dyDescent="0.5">
      <c r="A29" s="321" t="s">
        <v>200</v>
      </c>
      <c r="B29" s="319" t="s">
        <v>184</v>
      </c>
      <c r="C29" s="319" t="s">
        <v>185</v>
      </c>
      <c r="D29" s="319" t="s">
        <v>186</v>
      </c>
      <c r="E29" s="319" t="s">
        <v>187</v>
      </c>
      <c r="F29" s="319" t="s">
        <v>188</v>
      </c>
      <c r="G29" s="320"/>
      <c r="H29" s="320"/>
      <c r="I29" s="320"/>
      <c r="J29" s="320"/>
      <c r="K29" s="320"/>
      <c r="L29" s="320"/>
      <c r="M29" s="320"/>
      <c r="N29" s="320"/>
      <c r="O29" s="320"/>
    </row>
    <row r="30" spans="1:19" ht="15.75" x14ac:dyDescent="0.5">
      <c r="A30" s="321" t="s">
        <v>190</v>
      </c>
      <c r="B30" s="322">
        <f>'Frac hos cli '!O34</f>
        <v>7740</v>
      </c>
      <c r="C30" s="322">
        <f>$B$30*(1+$C$1)^B28</f>
        <v>7863.84</v>
      </c>
      <c r="D30" s="322">
        <f t="shared" ref="D30:F30" si="23">$B$30*(1+$C$1)^C28</f>
        <v>7989.6614400000008</v>
      </c>
      <c r="E30" s="322">
        <f t="shared" si="23"/>
        <v>8117.4960230400002</v>
      </c>
      <c r="F30" s="322">
        <f t="shared" si="23"/>
        <v>8247.3759594086405</v>
      </c>
      <c r="G30" s="320"/>
      <c r="H30" s="320"/>
      <c r="I30" s="320"/>
      <c r="J30" s="320"/>
      <c r="K30" s="320"/>
      <c r="L30" s="320"/>
      <c r="M30" s="320"/>
      <c r="N30" s="320"/>
      <c r="O30" s="320"/>
    </row>
    <row r="31" spans="1:19" ht="15.75" x14ac:dyDescent="0.5">
      <c r="A31" s="321" t="s">
        <v>153</v>
      </c>
      <c r="B31" s="323">
        <f>B30*B32</f>
        <v>6888.6</v>
      </c>
      <c r="C31" s="323">
        <f t="shared" ref="C31:F31" si="24">C30*C32</f>
        <v>6998.8176000000003</v>
      </c>
      <c r="D31" s="323">
        <f t="shared" si="24"/>
        <v>7110.7986816000011</v>
      </c>
      <c r="E31" s="323">
        <f t="shared" si="24"/>
        <v>7224.5714605056</v>
      </c>
      <c r="F31" s="323">
        <f t="shared" si="24"/>
        <v>7340.1646038736899</v>
      </c>
      <c r="G31" s="320"/>
      <c r="H31" s="320"/>
      <c r="I31" s="320"/>
      <c r="J31" s="320"/>
      <c r="K31" s="320"/>
      <c r="L31" s="320"/>
      <c r="M31" s="320"/>
      <c r="N31" s="320"/>
      <c r="O31" s="320"/>
    </row>
    <row r="32" spans="1:19" ht="15.75" x14ac:dyDescent="0.5">
      <c r="A32" s="321" t="s">
        <v>154</v>
      </c>
      <c r="B32" s="324">
        <v>0.89</v>
      </c>
      <c r="C32" s="324">
        <v>0.89</v>
      </c>
      <c r="D32" s="324">
        <v>0.89</v>
      </c>
      <c r="E32" s="324">
        <v>0.89</v>
      </c>
      <c r="F32" s="324">
        <v>0.89</v>
      </c>
      <c r="G32" s="320"/>
      <c r="H32" s="320"/>
      <c r="I32" s="320"/>
      <c r="J32" s="320"/>
      <c r="K32" s="320"/>
      <c r="L32" s="320"/>
      <c r="M32" s="320"/>
      <c r="N32" s="320"/>
      <c r="O32" s="320"/>
    </row>
    <row r="33" spans="1:15" ht="15.75" x14ac:dyDescent="0.5">
      <c r="A33" s="320"/>
      <c r="B33" s="320"/>
      <c r="C33" s="320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</row>
    <row r="34" spans="1:15" ht="15.75" x14ac:dyDescent="0.5">
      <c r="A34" s="320"/>
      <c r="B34" s="325">
        <v>1</v>
      </c>
      <c r="C34" s="325">
        <v>2</v>
      </c>
      <c r="D34" s="325">
        <v>3</v>
      </c>
      <c r="E34" s="325">
        <v>4</v>
      </c>
      <c r="F34" s="325">
        <v>5</v>
      </c>
      <c r="G34" s="320"/>
      <c r="H34" s="320"/>
      <c r="I34" s="320"/>
      <c r="J34" s="320"/>
      <c r="K34" s="320"/>
      <c r="L34" s="320"/>
      <c r="M34" s="320"/>
      <c r="N34" s="320"/>
      <c r="O34" s="320"/>
    </row>
    <row r="35" spans="1:15" ht="31.15" x14ac:dyDescent="0.5">
      <c r="A35" s="329" t="s">
        <v>151</v>
      </c>
      <c r="B35" s="319" t="s">
        <v>184</v>
      </c>
      <c r="C35" s="319" t="s">
        <v>185</v>
      </c>
      <c r="D35" s="319" t="s">
        <v>186</v>
      </c>
      <c r="E35" s="319" t="s">
        <v>187</v>
      </c>
      <c r="F35" s="319" t="s">
        <v>188</v>
      </c>
      <c r="G35" s="320"/>
      <c r="H35" s="320"/>
      <c r="I35" s="320"/>
      <c r="J35" s="320"/>
      <c r="K35" s="320"/>
      <c r="L35" s="320"/>
      <c r="M35" s="320"/>
      <c r="N35" s="320"/>
      <c r="O35" s="320"/>
    </row>
    <row r="36" spans="1:15" ht="15.75" x14ac:dyDescent="0.5">
      <c r="A36" s="321" t="s">
        <v>190</v>
      </c>
      <c r="B36" s="322">
        <f>'Frac Mer HOG PRO'!I5</f>
        <v>17820</v>
      </c>
      <c r="C36" s="322">
        <f>$B$36*(1+$C$1)^B34</f>
        <v>18105.12</v>
      </c>
      <c r="D36" s="322">
        <f t="shared" ref="D36:F36" si="25">$B$36*(1+$C$1)^C34</f>
        <v>18394.801920000002</v>
      </c>
      <c r="E36" s="322">
        <f t="shared" si="25"/>
        <v>18689.118750720001</v>
      </c>
      <c r="F36" s="322">
        <f t="shared" si="25"/>
        <v>18988.14465073152</v>
      </c>
      <c r="G36" s="320"/>
      <c r="H36" s="320"/>
      <c r="I36" s="320"/>
      <c r="J36" s="320"/>
      <c r="K36" s="320"/>
      <c r="L36" s="320"/>
      <c r="M36" s="320"/>
      <c r="N36" s="320"/>
      <c r="O36" s="320"/>
    </row>
    <row r="37" spans="1:15" ht="15.75" x14ac:dyDescent="0.5">
      <c r="A37" s="321" t="s">
        <v>153</v>
      </c>
      <c r="B37" s="323">
        <f>B36*B38</f>
        <v>16855.937999999998</v>
      </c>
      <c r="C37" s="323">
        <f t="shared" ref="C37:F37" si="26">C36*C38</f>
        <v>17125.633007999997</v>
      </c>
      <c r="D37" s="323">
        <f t="shared" si="26"/>
        <v>17399.643136128001</v>
      </c>
      <c r="E37" s="323">
        <f t="shared" si="26"/>
        <v>17678.037426306048</v>
      </c>
      <c r="F37" s="323">
        <f t="shared" si="26"/>
        <v>17960.886025126943</v>
      </c>
      <c r="G37" s="320"/>
      <c r="H37" s="320"/>
      <c r="I37" s="320"/>
      <c r="J37" s="320"/>
      <c r="K37" s="320"/>
      <c r="L37" s="320"/>
      <c r="M37" s="320"/>
      <c r="N37" s="320"/>
      <c r="O37" s="320"/>
    </row>
    <row r="38" spans="1:15" ht="15.75" x14ac:dyDescent="0.5">
      <c r="A38" s="321" t="s">
        <v>154</v>
      </c>
      <c r="B38" s="328">
        <v>0.94589999999999996</v>
      </c>
      <c r="C38" s="328">
        <f>B38</f>
        <v>0.94589999999999996</v>
      </c>
      <c r="D38" s="328">
        <f t="shared" ref="D38:F38" si="27">C38</f>
        <v>0.94589999999999996</v>
      </c>
      <c r="E38" s="328">
        <f t="shared" si="27"/>
        <v>0.94589999999999996</v>
      </c>
      <c r="F38" s="328">
        <f t="shared" si="27"/>
        <v>0.94589999999999996</v>
      </c>
      <c r="G38" s="320"/>
      <c r="H38" s="320"/>
      <c r="I38" s="320"/>
      <c r="J38" s="320"/>
      <c r="K38" s="320"/>
      <c r="L38" s="320"/>
      <c r="M38" s="320"/>
      <c r="N38" s="320"/>
      <c r="O38" s="320"/>
    </row>
    <row r="39" spans="1:15" ht="15.75" x14ac:dyDescent="0.5">
      <c r="A39" s="320"/>
      <c r="B39" s="320"/>
      <c r="C39" s="320"/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320"/>
    </row>
    <row r="41" spans="1:15" x14ac:dyDescent="0.45">
      <c r="D41" s="2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C29"/>
  <sheetViews>
    <sheetView workbookViewId="0">
      <selection activeCell="D28" sqref="D28"/>
    </sheetView>
  </sheetViews>
  <sheetFormatPr baseColWidth="10" defaultColWidth="11.3984375" defaultRowHeight="14.25" x14ac:dyDescent="0.45"/>
  <cols>
    <col min="2" max="2" width="29.3984375" customWidth="1"/>
    <col min="3" max="3" width="23.86328125" customWidth="1"/>
  </cols>
  <sheetData>
    <row r="2" spans="2:3" ht="14.65" thickBot="1" x14ac:dyDescent="0.5"/>
    <row r="3" spans="2:3" ht="14.65" thickBot="1" x14ac:dyDescent="0.5">
      <c r="B3" s="536" t="s">
        <v>201</v>
      </c>
      <c r="C3" s="537"/>
    </row>
    <row r="4" spans="2:3" ht="14.65" thickBot="1" x14ac:dyDescent="0.5">
      <c r="B4" s="338" t="s">
        <v>202</v>
      </c>
      <c r="C4" s="32" t="s">
        <v>203</v>
      </c>
    </row>
    <row r="5" spans="2:3" ht="14.65" thickBot="1" x14ac:dyDescent="0.5">
      <c r="B5" s="33" t="s">
        <v>204</v>
      </c>
      <c r="C5" s="339">
        <v>1</v>
      </c>
    </row>
    <row r="6" spans="2:3" ht="14.65" thickBot="1" x14ac:dyDescent="0.5">
      <c r="B6" s="33" t="s">
        <v>205</v>
      </c>
      <c r="C6" s="339">
        <v>2</v>
      </c>
    </row>
    <row r="7" spans="2:3" ht="14.65" thickBot="1" x14ac:dyDescent="0.5">
      <c r="B7" s="33" t="s">
        <v>206</v>
      </c>
      <c r="C7" s="339">
        <v>2</v>
      </c>
    </row>
    <row r="8" spans="2:3" ht="15.4" thickBot="1" x14ac:dyDescent="0.5">
      <c r="B8" s="340" t="s">
        <v>180</v>
      </c>
      <c r="C8" s="341">
        <f>SUM(C5:C7)</f>
        <v>5</v>
      </c>
    </row>
    <row r="9" spans="2:3" ht="14.65" thickBot="1" x14ac:dyDescent="0.5">
      <c r="B9" s="536" t="s">
        <v>207</v>
      </c>
      <c r="C9" s="537"/>
    </row>
    <row r="10" spans="2:3" ht="14.65" thickBot="1" x14ac:dyDescent="0.5">
      <c r="B10" s="338" t="s">
        <v>202</v>
      </c>
      <c r="C10" s="32" t="s">
        <v>203</v>
      </c>
    </row>
    <row r="11" spans="2:3" ht="14.65" thickBot="1" x14ac:dyDescent="0.5">
      <c r="B11" s="33" t="s">
        <v>208</v>
      </c>
      <c r="C11" s="342">
        <f>MP!C4</f>
        <v>1683.95</v>
      </c>
    </row>
    <row r="12" spans="2:3" ht="14.65" thickBot="1" x14ac:dyDescent="0.5">
      <c r="B12" s="33" t="s">
        <v>209</v>
      </c>
      <c r="C12" s="342">
        <f>MP!C5</f>
        <v>102.7</v>
      </c>
    </row>
    <row r="13" spans="2:3" ht="14.65" thickBot="1" x14ac:dyDescent="0.5">
      <c r="B13" s="33" t="s">
        <v>210</v>
      </c>
      <c r="C13" s="342">
        <f>MP!C6</f>
        <v>31.6</v>
      </c>
    </row>
    <row r="14" spans="2:3" ht="14.65" thickBot="1" x14ac:dyDescent="0.5">
      <c r="B14" s="33" t="s">
        <v>211</v>
      </c>
      <c r="C14" s="342">
        <f>MP!C7</f>
        <v>47.400000000000006</v>
      </c>
    </row>
    <row r="15" spans="2:3" ht="14.65" thickBot="1" x14ac:dyDescent="0.5">
      <c r="B15" s="33" t="s">
        <v>212</v>
      </c>
      <c r="C15" s="342">
        <f>MP!C8</f>
        <v>489.8</v>
      </c>
    </row>
    <row r="16" spans="2:3" ht="15.4" thickBot="1" x14ac:dyDescent="0.5">
      <c r="B16" s="340" t="s">
        <v>180</v>
      </c>
      <c r="C16" s="343">
        <f>SUM(C11:C15)</f>
        <v>2355.4500000000003</v>
      </c>
    </row>
    <row r="17" spans="2:3" ht="14.65" thickBot="1" x14ac:dyDescent="0.5">
      <c r="B17" s="536" t="s">
        <v>213</v>
      </c>
      <c r="C17" s="537"/>
    </row>
    <row r="18" spans="2:3" ht="14.65" thickBot="1" x14ac:dyDescent="0.5">
      <c r="B18" s="338" t="s">
        <v>202</v>
      </c>
      <c r="C18" s="32" t="s">
        <v>203</v>
      </c>
    </row>
    <row r="19" spans="2:3" ht="14.65" thickBot="1" x14ac:dyDescent="0.5">
      <c r="B19" s="344" t="s">
        <v>214</v>
      </c>
      <c r="C19" s="339">
        <v>2</v>
      </c>
    </row>
    <row r="20" spans="2:3" ht="14.65" thickBot="1" x14ac:dyDescent="0.5">
      <c r="B20" s="344" t="s">
        <v>215</v>
      </c>
      <c r="C20" s="339">
        <v>1</v>
      </c>
    </row>
    <row r="21" spans="2:3" ht="14.65" thickBot="1" x14ac:dyDescent="0.5">
      <c r="B21" s="344" t="s">
        <v>216</v>
      </c>
      <c r="C21" s="339">
        <v>10</v>
      </c>
    </row>
    <row r="22" spans="2:3" ht="28.15" thickBot="1" x14ac:dyDescent="0.5">
      <c r="B22" s="344" t="s">
        <v>217</v>
      </c>
      <c r="C22" s="339">
        <v>1</v>
      </c>
    </row>
    <row r="23" spans="2:3" ht="14.65" thickBot="1" x14ac:dyDescent="0.5">
      <c r="B23" s="344" t="s">
        <v>218</v>
      </c>
      <c r="C23" s="339">
        <v>3</v>
      </c>
    </row>
    <row r="24" spans="2:3" ht="14.65" thickBot="1" x14ac:dyDescent="0.5">
      <c r="B24" s="344" t="s">
        <v>219</v>
      </c>
      <c r="C24" s="339">
        <v>1</v>
      </c>
    </row>
    <row r="25" spans="2:3" ht="14.65" thickBot="1" x14ac:dyDescent="0.5">
      <c r="B25" s="344" t="s">
        <v>220</v>
      </c>
      <c r="C25" s="339">
        <v>1</v>
      </c>
    </row>
    <row r="26" spans="2:3" ht="14.65" thickBot="1" x14ac:dyDescent="0.5">
      <c r="B26" s="344" t="s">
        <v>221</v>
      </c>
      <c r="C26" s="339">
        <v>3</v>
      </c>
    </row>
    <row r="27" spans="2:3" ht="14.65" thickBot="1" x14ac:dyDescent="0.5">
      <c r="B27" s="344" t="s">
        <v>222</v>
      </c>
      <c r="C27" s="339">
        <v>6</v>
      </c>
    </row>
    <row r="28" spans="2:3" ht="14.65" thickBot="1" x14ac:dyDescent="0.5">
      <c r="B28" s="344" t="s">
        <v>223</v>
      </c>
      <c r="C28" s="339">
        <v>1</v>
      </c>
    </row>
    <row r="29" spans="2:3" ht="14.65" thickBot="1" x14ac:dyDescent="0.5">
      <c r="B29" s="340" t="s">
        <v>180</v>
      </c>
      <c r="C29" s="345">
        <f>SUM(C19:C28)</f>
        <v>29</v>
      </c>
    </row>
  </sheetData>
  <mergeCells count="3">
    <mergeCell ref="B3:C3"/>
    <mergeCell ref="B9:C9"/>
    <mergeCell ref="B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43</vt:i4>
      </vt:variant>
      <vt:variant>
        <vt:lpstr>Rangos con nombre</vt:lpstr>
      </vt:variant>
      <vt:variant>
        <vt:i4>3</vt:i4>
      </vt:variant>
    </vt:vector>
  </HeadingPairs>
  <TitlesOfParts>
    <vt:vector size="46" baseType="lpstr">
      <vt:lpstr>Preg Frec</vt:lpstr>
      <vt:lpstr>Preg Cant</vt:lpstr>
      <vt:lpstr>Tabu Pre 11</vt:lpstr>
      <vt:lpstr>Tabulac Hosp</vt:lpstr>
      <vt:lpstr>Frac Mer HOG PRO</vt:lpstr>
      <vt:lpstr>Frac hos cli </vt:lpstr>
      <vt:lpstr>Frac Mer Ho SER</vt:lpstr>
      <vt:lpstr>Deman</vt:lpstr>
      <vt:lpstr>Insu</vt:lpstr>
      <vt:lpstr>Cap Pl</vt:lpstr>
      <vt:lpstr>Person</vt:lpstr>
      <vt:lpstr>Inv Cos</vt:lpstr>
      <vt:lpstr>INV</vt:lpstr>
      <vt:lpstr>A1.</vt:lpstr>
      <vt:lpstr>A2.</vt:lpstr>
      <vt:lpstr>A3.</vt:lpstr>
      <vt:lpstr>A4.</vt:lpstr>
      <vt:lpstr>A5.</vt:lpstr>
      <vt:lpstr>A6.</vt:lpstr>
      <vt:lpstr>A7.</vt:lpstr>
      <vt:lpstr>A8</vt:lpstr>
      <vt:lpstr>Depre</vt:lpstr>
      <vt:lpstr>CNT</vt:lpstr>
      <vt:lpstr>Amor</vt:lpstr>
      <vt:lpstr>Pre Ing</vt:lpstr>
      <vt:lpstr>Pre Tot Ing</vt:lpstr>
      <vt:lpstr>Costos</vt:lpstr>
      <vt:lpstr>Remun</vt:lpstr>
      <vt:lpstr>MP</vt:lpstr>
      <vt:lpstr>PER YG</vt:lpstr>
      <vt:lpstr>CAPM; WACC</vt:lpstr>
      <vt:lpstr>FLC F W</vt:lpstr>
      <vt:lpstr>FLC F CAP</vt:lpstr>
      <vt:lpstr>TIR PRY W</vt:lpstr>
      <vt:lpstr>TIR AX CAPM</vt:lpstr>
      <vt:lpstr>PE</vt:lpstr>
      <vt:lpstr>PRC </vt:lpstr>
      <vt:lpstr>BAN G</vt:lpstr>
      <vt:lpstr>FLUJ CA</vt:lpstr>
      <vt:lpstr>RESU</vt:lpstr>
      <vt:lpstr>BC</vt:lpstr>
      <vt:lpstr>VAN</vt:lpstr>
      <vt:lpstr>Hoja5</vt:lpstr>
      <vt:lpstr>Deman!_Toc347309579</vt:lpstr>
      <vt:lpstr>'Frac hos cli '!_Toc422244648</vt:lpstr>
      <vt:lpstr>'Frac Mer Ho SER'!_Toc422244648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Carlos</cp:lastModifiedBy>
  <cp:revision/>
  <dcterms:created xsi:type="dcterms:W3CDTF">2017-04-24T16:48:48Z</dcterms:created>
  <dcterms:modified xsi:type="dcterms:W3CDTF">2025-06-17T20:40:01Z</dcterms:modified>
  <cp:category/>
  <cp:contentStatus/>
</cp:coreProperties>
</file>