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INTY\Desktop\ESCRITORIO\conta empresarial\EJERCICIO 1\"/>
    </mc:Choice>
  </mc:AlternateContent>
  <xr:revisionPtr revIDLastSave="0" documentId="13_ncr:1_{B7BC4BA2-FB51-4CA6-9E5B-464655BAE1B2}" xr6:coauthVersionLast="47" xr6:coauthVersionMax="47" xr10:uidLastSave="{00000000-0000-0000-0000-000000000000}"/>
  <bookViews>
    <workbookView xWindow="-110" yWindow="-110" windowWidth="19420" windowHeight="10300" firstSheet="1" activeTab="5" xr2:uid="{7FBCE7FE-A009-473D-9812-7928B64DDAF4}"/>
  </bookViews>
  <sheets>
    <sheet name="Ejercicio 1" sheetId="1" r:id="rId1"/>
    <sheet name="kardex" sheetId="2" r:id="rId2"/>
    <sheet name="registro contable" sheetId="3" r:id="rId3"/>
    <sheet name="Auxiliar de ventas" sheetId="4" r:id="rId4"/>
    <sheet name="Auxiliar de compras" sheetId="5" r:id="rId5"/>
    <sheet name="Análisi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 l="1"/>
  <c r="D17" i="6"/>
  <c r="D16" i="6"/>
  <c r="B6" i="6"/>
  <c r="D5" i="6"/>
  <c r="B16" i="6" s="1"/>
  <c r="E16" i="6" s="1"/>
  <c r="B5" i="6"/>
  <c r="Q4" i="5" a="1"/>
  <c r="Q4" i="5" s="1"/>
  <c r="L4" i="5" a="1"/>
  <c r="L4" i="5" s="1"/>
  <c r="K4" i="5" a="1"/>
  <c r="K4" i="5" s="1"/>
  <c r="J4" i="5" a="1"/>
  <c r="J4" i="5" s="1"/>
  <c r="I4" i="5" a="1"/>
  <c r="I4" i="5" s="1"/>
  <c r="H4" i="5" a="1"/>
  <c r="H4" i="5"/>
  <c r="G4" i="5" a="1"/>
  <c r="G4" i="5"/>
  <c r="F4" i="5" a="1"/>
  <c r="F4" i="5" s="1"/>
  <c r="Q3" i="5"/>
  <c r="L3" i="5"/>
  <c r="H3" i="5"/>
  <c r="G3" i="5"/>
  <c r="F3" i="5"/>
  <c r="A3" i="5"/>
  <c r="N2" i="5"/>
  <c r="M2" i="4"/>
  <c r="J2" i="5"/>
  <c r="I2" i="5"/>
  <c r="H2" i="5"/>
  <c r="L2" i="5" s="1"/>
  <c r="Q2" i="5" s="1"/>
  <c r="G2" i="5"/>
  <c r="F2" i="5"/>
  <c r="A2" i="5"/>
  <c r="P2" i="4"/>
  <c r="P4" i="4" s="1"/>
  <c r="P3" i="4"/>
  <c r="O4" i="4"/>
  <c r="N4" i="4"/>
  <c r="K4" i="4"/>
  <c r="J4" i="4"/>
  <c r="I4" i="4"/>
  <c r="H4" i="4"/>
  <c r="G4" i="4"/>
  <c r="F4" i="4"/>
  <c r="E4" i="4"/>
  <c r="E2" i="4"/>
  <c r="G2" i="4" s="1"/>
  <c r="K2" i="4" s="1"/>
  <c r="E3" i="4"/>
  <c r="F2" i="4"/>
  <c r="A3" i="4"/>
  <c r="A2" i="4"/>
  <c r="E19" i="2"/>
  <c r="E18" i="2"/>
  <c r="A34" i="3"/>
  <c r="A27" i="3"/>
  <c r="F10" i="3"/>
  <c r="E10" i="3"/>
  <c r="A20" i="3"/>
  <c r="F8" i="3"/>
  <c r="E7" i="3"/>
  <c r="A11" i="3"/>
  <c r="A7" i="3"/>
  <c r="F24" i="3"/>
  <c r="F22" i="3"/>
  <c r="F15" i="3"/>
  <c r="A3" i="3"/>
  <c r="A1" i="3"/>
  <c r="C37" i="3"/>
  <c r="C23" i="3"/>
  <c r="C30" i="3" s="1"/>
  <c r="B35" i="3" s="1"/>
  <c r="B20" i="3"/>
  <c r="F11" i="2"/>
  <c r="F10" i="2"/>
  <c r="C9" i="2"/>
  <c r="D8" i="2"/>
  <c r="D9" i="2" s="1"/>
  <c r="C8" i="2"/>
  <c r="J7" i="2"/>
  <c r="I7" i="2"/>
  <c r="A8" i="2"/>
  <c r="B8" i="2"/>
  <c r="A9" i="2"/>
  <c r="B9" i="2"/>
  <c r="A10" i="2"/>
  <c r="B10" i="2"/>
  <c r="A11" i="2"/>
  <c r="B11" i="2"/>
  <c r="B7" i="2"/>
  <c r="A7" i="2"/>
  <c r="D6" i="1"/>
  <c r="E6" i="1" s="1"/>
  <c r="G6" i="1" s="1"/>
  <c r="E5" i="1"/>
  <c r="E11" i="3" s="1"/>
  <c r="E4" i="1"/>
  <c r="E5" i="6" l="1"/>
  <c r="D18" i="6"/>
  <c r="D6" i="6"/>
  <c r="B7" i="6"/>
  <c r="M4" i="4"/>
  <c r="F25" i="3"/>
  <c r="E21" i="3"/>
  <c r="E20" i="3" s="1"/>
  <c r="E25" i="3" s="1"/>
  <c r="D23" i="3"/>
  <c r="G5" i="1"/>
  <c r="H5" i="1" s="1"/>
  <c r="H6" i="1"/>
  <c r="F17" i="3"/>
  <c r="E13" i="3" s="1"/>
  <c r="F16" i="3" s="1"/>
  <c r="D12" i="3"/>
  <c r="E9" i="2"/>
  <c r="K7" i="2"/>
  <c r="E8" i="2"/>
  <c r="I8" i="2"/>
  <c r="I9" i="2" s="1"/>
  <c r="I10" i="2" s="1"/>
  <c r="I11" i="2" s="1"/>
  <c r="D7" i="6" l="1"/>
  <c r="B18" i="6" s="1"/>
  <c r="D20" i="6" s="1"/>
  <c r="E20" i="6" s="1"/>
  <c r="B17" i="6"/>
  <c r="E17" i="6"/>
  <c r="E7" i="6"/>
  <c r="E6" i="6"/>
  <c r="K8" i="2"/>
  <c r="E18" i="3"/>
  <c r="F14" i="3" s="1"/>
  <c r="F18" i="3" s="1"/>
  <c r="E18" i="6" l="1"/>
  <c r="D9" i="6"/>
  <c r="E9" i="6" s="1"/>
  <c r="K9" i="2"/>
  <c r="J8" i="2"/>
  <c r="J9" i="2" l="1"/>
  <c r="E11" i="1" s="1"/>
  <c r="E13" i="1" l="1"/>
  <c r="D7" i="1" s="1"/>
  <c r="E12" i="1"/>
  <c r="G10" i="2"/>
  <c r="H10" i="2" s="1"/>
  <c r="K10" i="2" s="1"/>
  <c r="J10" i="2" l="1"/>
  <c r="G11" i="2" l="1"/>
  <c r="H11" i="2" s="1"/>
  <c r="K11" i="2" s="1"/>
  <c r="J11" i="2" s="1"/>
  <c r="E7" i="1" l="1"/>
  <c r="D8" i="1"/>
  <c r="E8" i="1" s="1"/>
  <c r="G8" i="1" l="1"/>
  <c r="G7" i="1"/>
  <c r="F29" i="3"/>
  <c r="E17" i="2" s="1"/>
  <c r="H7" i="1" l="1"/>
  <c r="F31" i="3" s="1"/>
  <c r="E28" i="3"/>
  <c r="D30" i="3"/>
  <c r="D35" i="3"/>
  <c r="H8" i="1"/>
  <c r="E36" i="3" s="1"/>
  <c r="F37" i="3" s="1"/>
  <c r="F38" i="3"/>
  <c r="E2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<sst xmlns="http://schemas.openxmlformats.org/spreadsheetml/2006/main" count="199" uniqueCount="147">
  <si>
    <t>Fecha</t>
  </si>
  <si>
    <t>Transacción</t>
  </si>
  <si>
    <t>Inventario Inicial</t>
  </si>
  <si>
    <t>Compra</t>
  </si>
  <si>
    <t>Cantidad</t>
  </si>
  <si>
    <t>Costo unitario</t>
  </si>
  <si>
    <t>Devolución de compra</t>
  </si>
  <si>
    <t>Venta</t>
  </si>
  <si>
    <t xml:space="preserve">Devolución </t>
  </si>
  <si>
    <t>ENTRADAS</t>
  </si>
  <si>
    <t>ENTRADAS2</t>
  </si>
  <si>
    <t>ENTRADAS3</t>
  </si>
  <si>
    <t>SALIDAS</t>
  </si>
  <si>
    <t>SALIDAS2</t>
  </si>
  <si>
    <t>SALIDAS3</t>
  </si>
  <si>
    <t>EXISTENCIAS</t>
  </si>
  <si>
    <t>EXISTENCIAS2</t>
  </si>
  <si>
    <t>EXISTENCIAS3</t>
  </si>
  <si>
    <t>FECHA</t>
  </si>
  <si>
    <t>DETALLE</t>
  </si>
  <si>
    <t>CANTIDAD</t>
  </si>
  <si>
    <t>COSTO UNITARIO</t>
  </si>
  <si>
    <t>COSTO TOTAL</t>
  </si>
  <si>
    <t>Rentabilidad</t>
  </si>
  <si>
    <t>Descripción</t>
  </si>
  <si>
    <t>Parcial</t>
  </si>
  <si>
    <t>Debe</t>
  </si>
  <si>
    <t>Haber</t>
  </si>
  <si>
    <t>Compras</t>
  </si>
  <si>
    <t>Iva en Compras</t>
  </si>
  <si>
    <t>Retención en la fuente del impuesto a la renta 1.75%</t>
  </si>
  <si>
    <t>Descuento en compras</t>
  </si>
  <si>
    <t>Lavadoras</t>
  </si>
  <si>
    <t>Descuento calculado</t>
  </si>
  <si>
    <t>Devolución en compras</t>
  </si>
  <si>
    <t>Descuento en ventas</t>
  </si>
  <si>
    <t>Ventas</t>
  </si>
  <si>
    <t>IVA en Ventas</t>
  </si>
  <si>
    <t>Devolución en ventas</t>
  </si>
  <si>
    <t>Costo Unitario</t>
  </si>
  <si>
    <t>Rentabilidad 20% = (379.52*20%)</t>
  </si>
  <si>
    <t>Costo total</t>
  </si>
  <si>
    <t>Valor neto</t>
  </si>
  <si>
    <t>Columna1</t>
  </si>
  <si>
    <t>Columna2</t>
  </si>
  <si>
    <t>DATOS DEL EJERCICIO 1</t>
  </si>
  <si>
    <t>Porcentaje de descuento</t>
  </si>
  <si>
    <t>Precio de Venta al Público P.V.P = 379.52+75.90</t>
  </si>
  <si>
    <t>EMPRESA ELECTROECUADOR</t>
  </si>
  <si>
    <t>TARJETA KARDEX</t>
  </si>
  <si>
    <t>DEL 01 AL 31 DE OCTUBRE DE 2024</t>
  </si>
  <si>
    <t>Número de unidades existentes en la bodega</t>
  </si>
  <si>
    <t>Costo Unitario de las unidades existentes en bodega</t>
  </si>
  <si>
    <t>Costo total del inventario de mercaderías existente en bodega</t>
  </si>
  <si>
    <t>LIBRO DIARIO</t>
  </si>
  <si>
    <t>P/R la compra según factura 001-001-004445</t>
  </si>
  <si>
    <t>P/R la devolución en compras según nota de crédito 001-001-003333</t>
  </si>
  <si>
    <t>Notas adicionales</t>
  </si>
  <si>
    <t>Coloco la Base Imponible que consta en la factura = 20*415=8300</t>
  </si>
  <si>
    <t>El IVA obtengo de la Base Imponible menos el descuento=(8300-830=7470)=(7470*15%=1120.50)</t>
  </si>
  <si>
    <t>El descuento obtengo= Base imponible*10% de descuento=8300*10%=830</t>
  </si>
  <si>
    <t>La Retención en la fuente del Impuesto a la Renta obtengo de la Base Imponible menos el descuento y multiplicado por 1.75% = (8300-830=7470)=(7470*1.75%=130.73)</t>
  </si>
  <si>
    <t>La Retención del IVA obtengo del IVA multiplicando por 30%= 1120.50*30%=336.15</t>
  </si>
  <si>
    <t>Retención del IVA 30%</t>
  </si>
  <si>
    <t>Coloco la Base Imponible que consta en la nota de crédito = 3*415=1245</t>
  </si>
  <si>
    <t>Subcuenta para reconocer a los productos</t>
  </si>
  <si>
    <t>El IVA obtengo de la Base Imponible menos el descuento=(1245-124.5=1120.5)=(1120.50*15%=168.08)</t>
  </si>
  <si>
    <t>El descuento obtengo= Base imponible*10% de descuento=1245*10%=124.5</t>
  </si>
  <si>
    <t>Documentos por pagar</t>
  </si>
  <si>
    <t>Los documentos por pagar obtengo: Compras +IVA en compras - Retenciones - Descuentos= 8300+1120.50-130.73-336-15-830=8123.63</t>
  </si>
  <si>
    <t>Cuentas por cobrar</t>
  </si>
  <si>
    <t>Registro del inventario inicial, suponiendo que la empresa es nueva y uno de sus propietarios aporta con ese inventario</t>
  </si>
  <si>
    <t>Inventario de Mercaderías</t>
  </si>
  <si>
    <t>Capital</t>
  </si>
  <si>
    <t>Ingresa las refrigeradoras al inventario de mercaderías y se encuentra en el Debe, lo que significa que está aumentando el activo de la empresa (lo que la empresa posee).</t>
  </si>
  <si>
    <t>Colocamos Capital" al Haber, ya que indica que este es el aporte del propietario al negocio. En este caso, no es un aporte en efectivo, sino en especie, ya que el propietario está aportando mercaderías (refrigeradoras).</t>
  </si>
  <si>
    <t>P/R el valor del inventario inicial</t>
  </si>
  <si>
    <t>Los documentos por pagar obtengo: Devolución en Compras +IVA en compras - Descuentos= 1245+168.08-124.50-1288.58</t>
  </si>
  <si>
    <t>P/R la venta según factura 001-001-0000344</t>
  </si>
  <si>
    <t>En las ventas coloco la Base Imponible que consta en la factura = 20*455.43=9108.60</t>
  </si>
  <si>
    <t>El IVA obtengo de la Base Imponible menos el descuento=(9108.60-728.69=8379.91)= nueva base imponible multiplicado por el 15% (8379.91*15%=1256.99)</t>
  </si>
  <si>
    <t>El descuento obtengo= Base imponible*8% de descuento=9108.60*8%=728.69</t>
  </si>
  <si>
    <t>En la devolución en ventas coloco la Base Imponible que consta en la nota de crédito = 5*455.42=2277.15</t>
  </si>
  <si>
    <t>El IVA obtengo de la Base Imponible menos el descuento=(2277.15-182.17=2094.98)= nueva base imponible multiplicado por el 15% (2094.98*15%=314.25)</t>
  </si>
  <si>
    <t>Las cuentas por cobrar obtengo: Ventas +IVA en ventas - Descuentos= 9108.60+1256.99-728.69=9636.90</t>
  </si>
  <si>
    <t>Las cuentas por cobrar obtengo: Devolución en Ventas +IVA en ventas - Descuentos= 2277.15+314.25-182.17=2409.22</t>
  </si>
  <si>
    <t>El descuento obtengo= Base imponible*8% de descuento=2277.15*8%=182.17</t>
  </si>
  <si>
    <t>P/R la devolución en ventas según nota de crédito 001-001-00003</t>
  </si>
  <si>
    <t>Bodeguero</t>
  </si>
  <si>
    <t>Jefe de inventarios</t>
  </si>
  <si>
    <t>Costo de Ventas</t>
  </si>
  <si>
    <t>Utilidad Bruta en Ventas</t>
  </si>
  <si>
    <t>Análisis con relación a la rentabilidad</t>
  </si>
  <si>
    <t>Fecha de emisión</t>
  </si>
  <si>
    <t>Cliente</t>
  </si>
  <si>
    <t>RUC del cliente</t>
  </si>
  <si>
    <t>Nro. Factura</t>
  </si>
  <si>
    <t>Base Imposible USD</t>
  </si>
  <si>
    <t>Valor IVA</t>
  </si>
  <si>
    <t>Total Facturado USD</t>
  </si>
  <si>
    <t>Retención en la Fuente 1.75%</t>
  </si>
  <si>
    <t>Valor Cobrado en efectivo</t>
  </si>
  <si>
    <t>Valor Crédito USD</t>
  </si>
  <si>
    <t>Fecha de vencimiento</t>
  </si>
  <si>
    <t>Días de mora</t>
  </si>
  <si>
    <t>Fecha Abono 1</t>
  </si>
  <si>
    <t>Valor abono 1</t>
  </si>
  <si>
    <t>Saldo</t>
  </si>
  <si>
    <t>Proveedor</t>
  </si>
  <si>
    <t>RUC del proveedor</t>
  </si>
  <si>
    <t>Base Imposible USD 0%</t>
  </si>
  <si>
    <t>Base Imposible USD 15%2</t>
  </si>
  <si>
    <t>Valor Pagado en efectivo</t>
  </si>
  <si>
    <t>Electrodomésticos ABC</t>
  </si>
  <si>
    <t>0601111617001</t>
  </si>
  <si>
    <t>001-001-0000344</t>
  </si>
  <si>
    <t>NC 001-001-00003</t>
  </si>
  <si>
    <t>TOTAL</t>
  </si>
  <si>
    <t>Electrolux</t>
  </si>
  <si>
    <t>001-001-004445</t>
  </si>
  <si>
    <t>NC 001-001-003333</t>
  </si>
  <si>
    <t>0</t>
  </si>
  <si>
    <t xml:space="preserve"> -   </t>
  </si>
  <si>
    <t>Pregunta</t>
  </si>
  <si>
    <t>¿Cuál es el margen bruto luego de aplicar el descuento?</t>
  </si>
  <si>
    <t>Ventas netas</t>
  </si>
  <si>
    <t>Costo de ventas neto</t>
  </si>
  <si>
    <t>Utilidad Bruta en Ventas (real)</t>
  </si>
  <si>
    <t>Diferencia entre lo esperado y lo real</t>
  </si>
  <si>
    <t>Ventas esperadas</t>
  </si>
  <si>
    <t>Ventas reales</t>
  </si>
  <si>
    <t>Disminución en la utilidad bruta de:</t>
  </si>
  <si>
    <t>Diferencias</t>
  </si>
  <si>
    <t>Razón</t>
  </si>
  <si>
    <t>Por el descuento del 8% otorgado</t>
  </si>
  <si>
    <t>La empresa dejó de ganar $728.69 en ingresos debido al descuento otorgado.</t>
  </si>
  <si>
    <t>El costo de ventas se mantiene, ya que está relacionado con lo que la empresa pagó por los productos, independientemente del descuento en las ventas.</t>
  </si>
  <si>
    <t>Electroecuador aplicó un descuento del 8%, por lo cual, los ingresos disminuyeron, afectando directamente a las ganancias brutas con una reducción del 48%, lo que significa que la empresa ganó menos de lo esperado. Aunque el descuento ayudó a vender más, también bajó los beneficios por cada venta; sin embargo, el descuento ha sido empleado como estrategia comercial para atraer a más clientes en el futuro, vender más rápido el inventario y evitar que se acumulen productos. Finalmente, aunque la empresa momentaneamente esté ganando menos por cada producto, vender más y tener clientes fieles puede compensar esa pérdida con el tiempo.</t>
  </si>
  <si>
    <t>¿Cuál es el margen bruto luego de la devolución?</t>
  </si>
  <si>
    <t>Por la devolución de 5 productos</t>
  </si>
  <si>
    <t>Tras la devolución, la utilidad bruta se redujo a $592.09, lo que refleja una disminución de $197.36.</t>
  </si>
  <si>
    <t>La devolución de los 5 productos afectó tanto las ventas como la utilidad bruta de la empresa, aunque se ajustó el costo de ventas debido a la devolución, la empresa perdió ingresos significativos; la utilidad bruta disminuyó en un 25% lo que muestra el impacto directo que tienen las devoluciones en la rentabilidad de la empresa; sin embargo, las devoluciones permiten a la empresa mantener una buena relación con los clientes, ya que ofrecen la flexibilidad de devolver productos defectuosos o que no cumplen con sus expectativas; generando confianza en la marca y  fidelizar a los clientes a largo plazo. Además, al recibir de vuelta productos defectuosos o en mal estado, la empresa tiene la oportunidad de mejorar su control de calidad y ajustar sus procesos para evitar futuros inconvenientes, logrando una mejor gestión del inventario y la satisfacción del cliente.</t>
  </si>
  <si>
    <t>¿Cómo afecta el descuento al margen de ganancia y la rentabilidad de la empresa?</t>
  </si>
  <si>
    <t>El descuento aplicado del 8% sobre el precio original reduce el valor total de las ventas de $9,108.60 a $8,379.81, lo que disminuye el margen de ganancia en el corto plazo. Aunque el margen bruto se ve afectado por la reducción en los ingresos, esta estrategia puede tener un efecto positivo en la rentabilidad a largo plazo. El descuento no solo incentiva más ventas, sino que también mejora la satisfacción del cliente, lo que aumenta la probabilidad de ventas futuras y fideliza a los clientes, lo cual puede compensar la disminución inmediata de la ganancia.</t>
  </si>
  <si>
    <t>¿Qué impacto tiene la devolución en los ingresos y el inventario de la empresa?</t>
  </si>
  <si>
    <t>La devolución de las 5 lavadoras reduce los ingresos en $2,094.98, ajustando el margen bruto y reflejando una pérdida parcial de la ganancia generada por la venta original. En cuanto al inventario, la devolución aumenta las existencias a 7 unidades en el Kardex, lo que proporciona más productos para futuras ventas; sin embargo, este incremento en inventario puede representar un costo de oportunidad, ya que los recursos invertidos en esos productos devueltos podrían haberse utilizado en otras áreas del negocio. Si las lavadoras no se venden rápidamente, se corre el riesgo de incurrir en costos adicionales de almacenamiento y manejo, aunque no afecta directamente el flujo de caja a corto plazo.</t>
  </si>
  <si>
    <t>0695739069001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</si>
</sst>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font>
      <sz val="11"/>
      <color theme="1"/>
      <name val="Aptos Narrow"/>
      <family val="2"/>
      <scheme val="minor"/>
    </font>
    <font>
      <sz val="11"/>
      <color theme="1"/>
      <name val="Aptos Narrow"/>
      <family val="2"/>
      <scheme val="minor"/>
    </font>
    <font>
      <b/>
      <sz val="11"/>
      <name val="Times New Roman"/>
      <family val="1"/>
    </font>
    <font>
      <b/>
      <sz val="11"/>
      <color theme="1"/>
      <name val="Aptos Narrow"/>
      <family val="2"/>
      <scheme val="minor"/>
    </font>
    <font>
      <b/>
      <sz val="11"/>
      <color theme="1"/>
      <name val="Times New Roman"/>
      <family val="1"/>
    </font>
    <font>
      <sz val="11"/>
      <color theme="1"/>
      <name val="Times New Roman"/>
      <family val="1"/>
    </font>
    <font>
      <b/>
      <sz val="10"/>
      <color theme="1"/>
      <name val="Times New Roman"/>
      <family val="1"/>
    </font>
    <font>
      <sz val="11"/>
      <color theme="1"/>
      <name val="Text"/>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xf>
    <xf numFmtId="43" fontId="2" fillId="2" borderId="1" xfId="1" applyFont="1" applyFill="1" applyBorder="1" applyAlignment="1">
      <alignment vertical="center"/>
    </xf>
    <xf numFmtId="0" fontId="0" fillId="2" borderId="0" xfId="0" applyFill="1"/>
    <xf numFmtId="43" fontId="0" fillId="2" borderId="0" xfId="1" applyFont="1" applyFill="1"/>
    <xf numFmtId="0" fontId="3" fillId="2" borderId="0" xfId="0" applyFont="1" applyFill="1"/>
    <xf numFmtId="14" fontId="0" fillId="2" borderId="0" xfId="0" applyNumberFormat="1" applyFill="1"/>
    <xf numFmtId="43" fontId="0" fillId="2" borderId="0" xfId="0" applyNumberFormat="1" applyFill="1"/>
    <xf numFmtId="0" fontId="3" fillId="2" borderId="1" xfId="0" applyFont="1" applyFill="1" applyBorder="1"/>
    <xf numFmtId="43" fontId="3" fillId="2" borderId="1" xfId="1" applyFont="1" applyFill="1" applyBorder="1"/>
    <xf numFmtId="14" fontId="0" fillId="2" borderId="1" xfId="0" applyNumberFormat="1" applyFill="1" applyBorder="1"/>
    <xf numFmtId="0" fontId="0" fillId="2" borderId="1" xfId="0" applyFill="1" applyBorder="1"/>
    <xf numFmtId="43" fontId="0" fillId="2" borderId="1" xfId="1" applyFont="1" applyFill="1" applyBorder="1"/>
    <xf numFmtId="9" fontId="0" fillId="2" borderId="1" xfId="0" applyNumberFormat="1" applyFill="1" applyBorder="1"/>
    <xf numFmtId="43" fontId="0" fillId="2" borderId="1" xfId="0" applyNumberFormat="1" applyFill="1" applyBorder="1"/>
    <xf numFmtId="0" fontId="3" fillId="2" borderId="1" xfId="0" applyFont="1" applyFill="1" applyBorder="1" applyAlignment="1">
      <alignment wrapText="1"/>
    </xf>
    <xf numFmtId="43" fontId="0" fillId="3" borderId="0" xfId="1" applyFont="1" applyFill="1"/>
    <xf numFmtId="43" fontId="3" fillId="2" borderId="3" xfId="1" applyFont="1" applyFill="1" applyBorder="1"/>
    <xf numFmtId="43" fontId="0" fillId="2" borderId="4" xfId="1" applyFont="1" applyFill="1" applyBorder="1"/>
    <xf numFmtId="0" fontId="0" fillId="2" borderId="4" xfId="0" applyFill="1" applyBorder="1"/>
    <xf numFmtId="43" fontId="0" fillId="2" borderId="5" xfId="1" applyFont="1" applyFill="1" applyBorder="1"/>
    <xf numFmtId="43" fontId="3" fillId="2" borderId="6" xfId="1" applyFont="1" applyFill="1" applyBorder="1"/>
    <xf numFmtId="43" fontId="0" fillId="2" borderId="7" xfId="1" applyFont="1" applyFill="1" applyBorder="1"/>
    <xf numFmtId="0" fontId="0" fillId="2" borderId="7" xfId="0" applyFill="1" applyBorder="1"/>
    <xf numFmtId="43" fontId="0" fillId="2" borderId="8" xfId="1" applyFont="1" applyFill="1" applyBorder="1"/>
    <xf numFmtId="43" fontId="3" fillId="2" borderId="9" xfId="1" applyFont="1" applyFill="1" applyBorder="1"/>
    <xf numFmtId="43" fontId="0" fillId="2" borderId="10" xfId="1" applyFont="1" applyFill="1" applyBorder="1"/>
    <xf numFmtId="0" fontId="0" fillId="2" borderId="10" xfId="0" applyFill="1" applyBorder="1"/>
    <xf numFmtId="43" fontId="0" fillId="2" borderId="11" xfId="1" applyFont="1" applyFill="1" applyBorder="1"/>
    <xf numFmtId="0" fontId="0" fillId="3" borderId="0" xfId="0" applyFill="1"/>
    <xf numFmtId="0" fontId="3" fillId="2"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0" fontId="4" fillId="2" borderId="0" xfId="0" applyFont="1" applyFill="1"/>
    <xf numFmtId="0" fontId="5" fillId="2" borderId="0" xfId="0" applyFont="1" applyFill="1"/>
    <xf numFmtId="43" fontId="5" fillId="2" borderId="0" xfId="1" applyFont="1" applyFill="1"/>
    <xf numFmtId="43" fontId="5" fillId="2" borderId="0" xfId="0" applyNumberFormat="1" applyFont="1" applyFill="1"/>
    <xf numFmtId="43" fontId="4" fillId="2" borderId="1" xfId="1" applyFont="1" applyFill="1" applyBorder="1"/>
    <xf numFmtId="43" fontId="5" fillId="2" borderId="1" xfId="1" applyFont="1" applyFill="1" applyBorder="1"/>
    <xf numFmtId="0" fontId="4" fillId="2" borderId="3" xfId="0" applyFont="1" applyFill="1" applyBorder="1"/>
    <xf numFmtId="0" fontId="5" fillId="2" borderId="3" xfId="0" applyFont="1" applyFill="1" applyBorder="1"/>
    <xf numFmtId="14" fontId="5" fillId="2" borderId="3" xfId="0" applyNumberFormat="1" applyFont="1" applyFill="1" applyBorder="1"/>
    <xf numFmtId="0" fontId="4" fillId="2" borderId="5" xfId="0" applyFont="1" applyFill="1" applyBorder="1"/>
    <xf numFmtId="0" fontId="5" fillId="2" borderId="5" xfId="0" applyFont="1" applyFill="1" applyBorder="1"/>
    <xf numFmtId="43" fontId="5" fillId="2" borderId="5" xfId="0" applyNumberFormat="1" applyFont="1" applyFill="1" applyBorder="1"/>
    <xf numFmtId="0" fontId="5" fillId="4" borderId="3" xfId="0" applyFont="1" applyFill="1" applyBorder="1"/>
    <xf numFmtId="0" fontId="5" fillId="4" borderId="5" xfId="0" applyFont="1" applyFill="1" applyBorder="1"/>
    <xf numFmtId="43" fontId="5" fillId="4" borderId="1" xfId="1" applyFont="1" applyFill="1" applyBorder="1"/>
    <xf numFmtId="43" fontId="5" fillId="4" borderId="1" xfId="1" applyFont="1" applyFill="1" applyBorder="1" applyAlignment="1"/>
    <xf numFmtId="0" fontId="4" fillId="2" borderId="12" xfId="0" applyFont="1" applyFill="1" applyBorder="1"/>
    <xf numFmtId="0" fontId="5" fillId="2" borderId="12" xfId="0" applyFont="1" applyFill="1" applyBorder="1"/>
    <xf numFmtId="0" fontId="0" fillId="0" borderId="8" xfId="0" applyBorder="1"/>
    <xf numFmtId="0" fontId="0" fillId="0" borderId="2" xfId="0" applyBorder="1"/>
    <xf numFmtId="0" fontId="0" fillId="0" borderId="6" xfId="0" applyBorder="1"/>
    <xf numFmtId="14" fontId="0" fillId="0" borderId="8" xfId="0" applyNumberFormat="1" applyBorder="1"/>
    <xf numFmtId="14" fontId="0" fillId="0" borderId="2" xfId="0" applyNumberFormat="1" applyBorder="1"/>
    <xf numFmtId="1" fontId="0" fillId="0" borderId="2" xfId="0" applyNumberFormat="1" applyBorder="1"/>
    <xf numFmtId="2" fontId="0" fillId="0" borderId="2" xfId="0" applyNumberFormat="1" applyBorder="1"/>
    <xf numFmtId="2" fontId="0" fillId="0" borderId="0" xfId="0" applyNumberFormat="1"/>
    <xf numFmtId="49" fontId="0" fillId="0" borderId="2" xfId="0" applyNumberFormat="1" applyBorder="1"/>
    <xf numFmtId="43" fontId="0" fillId="0" borderId="2" xfId="0" applyNumberFormat="1" applyBorder="1"/>
    <xf numFmtId="43" fontId="0" fillId="0" borderId="2" xfId="1" applyFont="1" applyBorder="1"/>
    <xf numFmtId="14" fontId="0" fillId="0" borderId="2" xfId="1" applyNumberFormat="1" applyFont="1" applyBorder="1"/>
    <xf numFmtId="43" fontId="0" fillId="0" borderId="6" xfId="1" applyFont="1" applyBorder="1"/>
    <xf numFmtId="43" fontId="0" fillId="0" borderId="0" xfId="1" applyFont="1"/>
    <xf numFmtId="43" fontId="0" fillId="0" borderId="0" xfId="0" applyNumberFormat="1"/>
    <xf numFmtId="49" fontId="7" fillId="0" borderId="0" xfId="0" applyNumberFormat="1" applyFont="1"/>
    <xf numFmtId="43" fontId="0" fillId="0" borderId="13" xfId="1" applyFont="1" applyBorder="1"/>
    <xf numFmtId="43" fontId="0" fillId="0" borderId="6" xfId="0" applyNumberFormat="1" applyBorder="1"/>
    <xf numFmtId="43" fontId="0" fillId="0" borderId="13" xfId="0" applyNumberFormat="1" applyBorder="1"/>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43" fontId="0" fillId="0" borderId="1" xfId="0" applyNumberFormat="1" applyBorder="1" applyAlignment="1">
      <alignment vertical="center"/>
    </xf>
    <xf numFmtId="43"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0" xfId="0" applyNumberFormat="1" applyAlignment="1">
      <alignment vertical="center"/>
    </xf>
    <xf numFmtId="9" fontId="0" fillId="0" borderId="0" xfId="2" applyFont="1" applyAlignment="1">
      <alignment vertical="center"/>
    </xf>
    <xf numFmtId="0" fontId="3" fillId="0" borderId="0" xfId="0" applyFont="1" applyAlignment="1">
      <alignment horizontal="center" vertical="center"/>
    </xf>
    <xf numFmtId="0" fontId="3" fillId="2" borderId="1" xfId="0" applyFont="1" applyFill="1" applyBorder="1" applyAlignment="1">
      <alignment horizontal="center"/>
    </xf>
    <xf numFmtId="0" fontId="3" fillId="2" borderId="10" xfId="0" applyFont="1"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43" fontId="0" fillId="2" borderId="0" xfId="1" applyFont="1" applyFill="1" applyAlignment="1">
      <alignment horizontal="center"/>
    </xf>
    <xf numFmtId="0" fontId="3" fillId="2" borderId="0" xfId="0" applyFont="1" applyFill="1" applyAlignment="1">
      <alignment horizontal="center"/>
    </xf>
    <xf numFmtId="0" fontId="5" fillId="4" borderId="3" xfId="0" applyFont="1" applyFill="1" applyBorder="1" applyAlignment="1">
      <alignment horizontal="center"/>
    </xf>
    <xf numFmtId="0" fontId="5" fillId="4" borderId="5" xfId="0" applyFont="1" applyFill="1" applyBorder="1" applyAlignment="1">
      <alignment horizontal="center"/>
    </xf>
    <xf numFmtId="0" fontId="4" fillId="2" borderId="1" xfId="0" applyFont="1" applyFill="1" applyBorder="1" applyAlignment="1">
      <alignment horizontal="center"/>
    </xf>
    <xf numFmtId="0" fontId="6" fillId="2" borderId="0" xfId="0" applyFont="1" applyFill="1" applyAlignment="1">
      <alignment horizontal="center"/>
    </xf>
    <xf numFmtId="0" fontId="4" fillId="4" borderId="3" xfId="0" applyFont="1" applyFill="1" applyBorder="1" applyAlignment="1">
      <alignment horizontal="center"/>
    </xf>
    <xf numFmtId="0" fontId="4" fillId="4" borderId="5" xfId="0" applyFont="1" applyFill="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0" xfId="0" applyFont="1" applyBorder="1" applyAlignment="1">
      <alignment horizontal="center" vertical="center"/>
    </xf>
    <xf numFmtId="49" fontId="0" fillId="0" borderId="0" xfId="0" applyNumberFormat="1"/>
  </cellXfs>
  <cellStyles count="3">
    <cellStyle name="Millares" xfId="1" builtinId="3"/>
    <cellStyle name="Normal" xfId="0" builtinId="0"/>
    <cellStyle name="Porcentaje" xfId="2" builtinId="5"/>
  </cellStyles>
  <dxfs count="90">
    <dxf>
      <numFmt numFmtId="35" formatCode="_-* #,##0.00_-;\-* #,##0.00_-;_-* &quot;-&quot;??_-;_-@_-"/>
      <border diagonalUp="0" diagonalDown="0" outline="0">
        <left style="thin">
          <color indexed="64"/>
        </left>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border>
    </dxf>
    <dxf>
      <numFmt numFmtId="30" formatCode="@"/>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19" formatCode="dd/mm/yyyy"/>
      <border diagonalUp="0" diagonalDown="0" outline="0">
        <left/>
        <right style="thin">
          <color indexed="64"/>
        </right>
        <top style="thin">
          <color indexed="64"/>
        </top>
        <bottom/>
      </border>
    </dxf>
    <dxf>
      <font>
        <strike val="0"/>
        <outline val="0"/>
        <shadow val="0"/>
        <u val="none"/>
        <vertAlign val="baseline"/>
        <sz val="11"/>
        <color theme="1"/>
        <name val="Text"/>
        <scheme val="none"/>
      </font>
      <numFmt numFmtId="30" formatCode="@"/>
      <border diagonalUp="0" diagonalDown="0">
        <left style="thin">
          <color indexed="64"/>
        </left>
        <right style="thin">
          <color indexed="64"/>
        </right>
        <top style="thin">
          <color indexed="64"/>
        </top>
        <bottom/>
        <vertical/>
        <horizontal/>
      </border>
    </dxf>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vertical/>
        <horizontal/>
      </border>
    </dxf>
    <dxf>
      <border outline="0">
        <top style="thin">
          <color rgb="FF000000"/>
        </top>
      </border>
    </dxf>
    <dxf>
      <font>
        <b val="0"/>
      </font>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1" formatCode="0"/>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2" formatCode="0.00"/>
      <border diagonalUp="0" diagonalDown="0" outline="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numFmt numFmtId="19" formatCode="dd/mm/yyyy"/>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61D1CE-42CF-4DF8-872B-23C4C4BC4584}" name="Tabla2" displayName="Tabla2" ref="A5:K11" totalsRowShown="0" headerRowDxfId="89" dataDxfId="88">
  <autoFilter ref="A5:K11" xr:uid="{A361D1CE-42CF-4DF8-872B-23C4C4BC4584}"/>
  <tableColumns count="11">
    <tableColumn id="1" xr3:uid="{DD7DECB5-6238-445C-8947-4B2B2C2D94E8}" name="Columna2" dataDxfId="87">
      <calculatedColumnFormula>TODAY()</calculatedColumnFormula>
    </tableColumn>
    <tableColumn id="2" xr3:uid="{BDDA9E10-AAEA-47B7-9D3C-65D71328481B}" name="Columna1" dataDxfId="86"/>
    <tableColumn id="3" xr3:uid="{F0D645AA-49DF-471C-B1A0-FE097CBF627D}" name="ENTRADAS" dataDxfId="85"/>
    <tableColumn id="4" xr3:uid="{F5EEAF68-33CF-45D2-B649-BA5BFA477EE4}" name="ENTRADAS2" dataDxfId="84" dataCellStyle="Millares"/>
    <tableColumn id="5" xr3:uid="{70885DBE-BF24-47BC-907B-EC29D152F0D7}" name="ENTRADAS3" dataDxfId="83" dataCellStyle="Millares"/>
    <tableColumn id="6" xr3:uid="{616341EB-AFCE-4A9C-A733-A83AE696B403}" name="SALIDAS" dataDxfId="82"/>
    <tableColumn id="7" xr3:uid="{B5336D6A-8F9D-4D4B-9C2F-CF968B81F7EE}" name="SALIDAS2" dataDxfId="81"/>
    <tableColumn id="8" xr3:uid="{69E38009-0430-4576-AB19-55447A9D68EC}" name="SALIDAS3" dataDxfId="80" dataCellStyle="Millares"/>
    <tableColumn id="9" xr3:uid="{55B8EBED-F52A-4499-9EAE-3EB9893B094C}" name="EXISTENCIAS" dataDxfId="79"/>
    <tableColumn id="10" xr3:uid="{D5335D66-6B42-4C8F-8B4F-22D478CF2740}" name="EXISTENCIAS2" dataDxfId="78" dataCellStyle="Millares"/>
    <tableColumn id="11" xr3:uid="{831289BB-251E-4D34-BD3C-94FDCFC323EB}" name="EXISTENCIAS3" dataDxfId="77" dataCellStyle="Millar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3220CE-ABEA-42B8-AAC6-BBF80D4A094D}" name="Tabla3" displayName="Tabla3" ref="A1:P4" totalsRowCount="1" headerRowDxfId="76" headerRowBorderDxfId="75" tableBorderDxfId="74" totalsRowBorderDxfId="73">
  <autoFilter ref="A1:P3" xr:uid="{403220CE-ABEA-42B8-AAC6-BBF80D4A094D}"/>
  <tableColumns count="16">
    <tableColumn id="1" xr3:uid="{B5520298-862F-48E0-AE4B-B553C1DBB1A1}" name="Fecha de emisión" dataDxfId="72" totalsRowDxfId="71">
      <calculatedColumnFormula>+'Ejercicio 1'!A7</calculatedColumnFormula>
    </tableColumn>
    <tableColumn id="2" xr3:uid="{2CDA554A-398A-4D3D-B051-0B2293F1112D}" name="Cliente" dataDxfId="70" totalsRowDxfId="69"/>
    <tableColumn id="3" xr3:uid="{E3CC89AF-D902-455E-A1C0-F261B133BF3A}" name="RUC del cliente" dataDxfId="68" totalsRowDxfId="67"/>
    <tableColumn id="4" xr3:uid="{C8087BAF-1B86-4B1F-AFF6-3240124903AD}" name="Nro. Factura" totalsRowLabel="TOTAL" dataDxfId="66" totalsRowDxfId="65"/>
    <tableColumn id="5" xr3:uid="{12B68B23-A1F7-4FB8-83F9-531BA9D21CCD}" name="Base Imposible USD" totalsRowFunction="custom" dataDxfId="64" totalsRowDxfId="63">
      <calculatedColumnFormula>'Ejercicio 1'!H7</calculatedColumnFormula>
      <totalsRowFormula>+E2-E3</totalsRowFormula>
    </tableColumn>
    <tableColumn id="6" xr3:uid="{06EEE7C0-838B-4760-B309-744C95C45EAE}" name="Valor IVA" totalsRowFunction="custom" dataDxfId="62" totalsRowDxfId="61">
      <calculatedColumnFormula>+'registro contable'!F31</calculatedColumnFormula>
      <totalsRowFormula>+F2-F3</totalsRowFormula>
    </tableColumn>
    <tableColumn id="7" xr3:uid="{4C3BE829-DAD4-4B26-A4DA-ACEDDB248C8F}" name="Total Facturado USD" totalsRowFunction="custom" dataDxfId="60" totalsRowDxfId="59">
      <calculatedColumnFormula>+Tabla3[[#This Row],[Base Imposible USD]]+Tabla3[[#This Row],[Valor IVA]]</calculatedColumnFormula>
      <totalsRowFormula>+G2-G3</totalsRowFormula>
    </tableColumn>
    <tableColumn id="16" xr3:uid="{995D14CF-5F5E-4B19-A375-0DD0C7682664}" name="Retención en la Fuente 1.75%" totalsRowFunction="custom" dataDxfId="58" totalsRowDxfId="57">
      <totalsRowFormula>+H2-H3</totalsRowFormula>
    </tableColumn>
    <tableColumn id="15" xr3:uid="{707518D4-88B3-4298-A3B2-85262DF87CB1}" name="Retención del IVA 30%" totalsRowFunction="custom" dataDxfId="56" totalsRowDxfId="55">
      <totalsRowFormula>+I2-I3</totalsRowFormula>
    </tableColumn>
    <tableColumn id="8" xr3:uid="{238DC32B-D8E0-4D6C-AECF-99FD28364174}" name="Valor Cobrado en efectivo" totalsRowFunction="custom" dataDxfId="54" totalsRowDxfId="53">
      <totalsRowFormula>+J2-J3</totalsRowFormula>
    </tableColumn>
    <tableColumn id="9" xr3:uid="{C94EF303-4CC9-4C52-A25C-A4485965CFF7}" name="Valor Crédito USD" totalsRowFunction="custom" dataDxfId="52" totalsRowDxfId="51" dataCellStyle="Millares">
      <calculatedColumnFormula>+Tabla3[[#This Row],[Total Facturado USD]]</calculatedColumnFormula>
      <totalsRowFormula>+K2-K3</totalsRowFormula>
    </tableColumn>
    <tableColumn id="10" xr3:uid="{66792CB7-7E1C-4EF1-AAA8-D82424D10EB1}" name="Fecha de vencimiento" dataDxfId="50" totalsRowDxfId="49"/>
    <tableColumn id="17" xr3:uid="{D9989AA1-701B-4EF8-843D-D9BDEBF8097E}" name="Días de mora" totalsRowFunction="custom" dataDxfId="48" totalsRowDxfId="47">
      <calculatedColumnFormula>IF(TODAY()&gt;Tabla3[[#This Row],[Fecha de vencimiento]],TODAY()-Tabla3[[#This Row],[Fecha de vencimiento]],0)</calculatedColumnFormula>
      <totalsRowFormula>+M2-M3</totalsRowFormula>
    </tableColumn>
    <tableColumn id="11" xr3:uid="{4F9EC030-6EA6-4E30-AEFA-AA735DFD384C}" name="Fecha Abono 1" totalsRowFunction="custom" dataDxfId="46" totalsRowDxfId="45">
      <calculatedColumnFormula>+Tabla3[[#This Row],[Total Facturado USD]]</calculatedColumnFormula>
      <totalsRowFormula>+N2-N3</totalsRowFormula>
    </tableColumn>
    <tableColumn id="12" xr3:uid="{2687E414-070E-487F-9300-852621635622}" name="Valor abono 1" totalsRowFunction="custom" dataDxfId="44" totalsRowDxfId="43" dataCellStyle="Millares">
      <calculatedColumnFormula>+Tabla3[[#This Row],[Valor Crédito USD]]</calculatedColumnFormula>
      <totalsRowFormula>+O2-O3</totalsRowFormula>
    </tableColumn>
    <tableColumn id="14" xr3:uid="{9D7C0D8A-03AB-4D02-AEB2-DA047C5FF7EC}" name="Saldo" totalsRowFunction="custom" dataDxfId="42" totalsRowDxfId="41" dataCellStyle="Millares">
      <calculatedColumnFormula>+Tabla3[[#This Row],[Valor Crédito USD]]</calculatedColumnFormula>
      <totalsRowFormula>+P2-P3</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B7730C-1187-4407-B5B2-13FC68D822B0}" name="Tabla35" displayName="Tabla35" ref="A1:Q3" totalsRowCount="1" headerRowDxfId="40" totalsRowDxfId="37" headerRowBorderDxfId="39" tableBorderDxfId="38" totalsRowBorderDxfId="36">
  <autoFilter ref="A1:Q2" xr:uid="{CBB7730C-1187-4407-B5B2-13FC68D822B0}"/>
  <tableColumns count="17">
    <tableColumn id="1" xr3:uid="{FC34D46F-F9C9-4CFA-9F57-06261922AA3C}" name="Fecha de emisión" totalsRowFunction="custom" dataDxfId="35" totalsRowDxfId="16">
      <calculatedColumnFormula>+'Ejercicio 1'!A5</calculatedColumnFormula>
      <totalsRowFormula>+'Ejercicio 1'!A6</totalsRowFormula>
    </tableColumn>
    <tableColumn id="2" xr3:uid="{CF5ADAA2-51E4-4F98-B5B9-8648F507AF51}" name="Proveedor" totalsRowLabel="Electrolux" dataDxfId="34" totalsRowDxfId="15"/>
    <tableColumn id="3" xr3:uid="{1A7E7C08-9BC4-49F5-AEE3-FD9285BE4CCD}" name="RUC del proveedor" totalsRowLabel="0695739069001" dataDxfId="17" totalsRowDxfId="14"/>
    <tableColumn id="4" xr3:uid="{D9B71E70-4A8F-4647-8A29-248D4CE22DCD}" name="Nro. Factura" totalsRowLabel="NC 001-001-003333" dataDxfId="33" totalsRowDxfId="13"/>
    <tableColumn id="19" xr3:uid="{578466FD-D4FF-4A25-AFBB-0EE1295EEFCA}" name="Base Imposible USD 0%" totalsRowLabel=" -   " dataDxfId="32" totalsRowDxfId="12" dataCellStyle="Millares"/>
    <tableColumn id="5" xr3:uid="{14DA53BA-439E-4551-9C7C-0B3472232BA2}" name="Base Imposible USD 15%2" totalsRowFunction="custom" dataDxfId="31" totalsRowDxfId="11" dataCellStyle="Millares">
      <calculatedColumnFormula>+'Ejercicio 1'!H5</calculatedColumnFormula>
      <totalsRowFormula>+'Ejercicio 1'!H6</totalsRowFormula>
    </tableColumn>
    <tableColumn id="6" xr3:uid="{54066398-6C77-427A-BBCC-2438F9F2DB27}" name="Valor IVA" totalsRowFunction="custom" dataDxfId="30" totalsRowDxfId="10" dataCellStyle="Millares">
      <calculatedColumnFormula>+'registro contable'!E13</calculatedColumnFormula>
      <totalsRowFormula>+'registro contable'!F24</totalsRowFormula>
    </tableColumn>
    <tableColumn id="7" xr3:uid="{CB28FE58-5D89-48CB-B30F-CA313B84EC65}" name="Total Facturado USD" totalsRowFunction="custom" dataDxfId="29" totalsRowDxfId="9" dataCellStyle="Millares">
      <calculatedColumnFormula>+Tabla35[[#This Row],[Base Imposible USD 15%2]]+Tabla35[[#This Row],[Valor IVA]]</calculatedColumnFormula>
      <totalsRowFormula>+Tabla35[[#Totals],[Base Imposible USD 15%2]]+Tabla35[[#Totals],[Valor IVA]]</totalsRowFormula>
    </tableColumn>
    <tableColumn id="16" xr3:uid="{00F08B9E-78BD-47FE-B2F1-9F1E3C1CC2E5}" name="Retención en la Fuente 1.75%" totalsRowLabel="0" dataDxfId="28" totalsRowDxfId="8" dataCellStyle="Millares">
      <calculatedColumnFormula>+'registro contable'!F15</calculatedColumnFormula>
    </tableColumn>
    <tableColumn id="15" xr3:uid="{44F28D26-D1C6-48C8-9A29-EA38A5D2BB4F}" name="Retención del IVA 30%" totalsRowLabel="0" dataDxfId="27" totalsRowDxfId="7" dataCellStyle="Millares">
      <calculatedColumnFormula>+'registro contable'!F16</calculatedColumnFormula>
    </tableColumn>
    <tableColumn id="8" xr3:uid="{2845E527-C270-46C9-BF89-809E6AC0A71D}" name="Valor Pagado en efectivo" totalsRowLabel="0" dataDxfId="26" totalsRowDxfId="6" dataCellStyle="Millares"/>
    <tableColumn id="9" xr3:uid="{A292D518-348F-401D-8F73-C81BA9B9417A}" name="Valor Crédito USD" totalsRowFunction="custom" dataDxfId="25" totalsRowDxfId="5" dataCellStyle="Millares">
      <calculatedColumnFormula>+Tabla35[[#This Row],[Total Facturado USD]]-Tabla35[[#This Row],[Retención en la Fuente 1.75%]]-Tabla35[[#This Row],[Retención del IVA 30%]]</calculatedColumnFormula>
      <totalsRowFormula>+Tabla35[[#Totals],[Total Facturado USD]]</totalsRowFormula>
    </tableColumn>
    <tableColumn id="10" xr3:uid="{A0CD6FDF-ABD7-496C-9523-13557914D4F2}" name="Fecha de vencimiento" dataDxfId="24" totalsRowDxfId="4"/>
    <tableColumn id="17" xr3:uid="{00182218-1F78-4A2D-8CB9-E04EB3D30A0F}" name="Días de mora" dataDxfId="23" totalsRowDxfId="3">
      <calculatedColumnFormula>IF(TODAY()&gt;Tabla35[[#This Row],[Fecha de vencimiento]],TODAY()-Tabla35[[#This Row],[Fecha de vencimiento]],0)</calculatedColumnFormula>
    </tableColumn>
    <tableColumn id="11" xr3:uid="{14038071-E1D7-4C8C-A3A5-7F5871F5189C}" name="Fecha Abono 1" dataDxfId="22" totalsRowDxfId="2"/>
    <tableColumn id="12" xr3:uid="{F0FFDA16-9C23-47CD-B916-87C13B386EE7}" name="Valor abono 1" dataDxfId="21" totalsRowDxfId="1"/>
    <tableColumn id="14" xr3:uid="{FF6A7142-8E99-4717-8B0B-862446E4453B}" name="Saldo" totalsRowFunction="custom" dataDxfId="20" totalsRowDxfId="0" dataCellStyle="Millares">
      <calculatedColumnFormula>+Tabla35[[#This Row],[Valor Crédito USD]]-Tabla35[[#This Row],[Fecha Abono 1]]</calculatedColumnFormula>
      <totalsRowFormula>+Tabla35[[#Totals],[Valor Crédito USD]]</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9D26-B4B5-44C6-A3D7-DCC5677F7BF1}">
  <dimension ref="A1:K13"/>
  <sheetViews>
    <sheetView workbookViewId="0">
      <selection sqref="A1:I1"/>
    </sheetView>
  </sheetViews>
  <sheetFormatPr baseColWidth="10" defaultRowHeight="14.5"/>
  <cols>
    <col min="1" max="1" width="10.08984375" style="6" bestFit="1" customWidth="1"/>
    <col min="2" max="2" width="18.81640625" style="6" bestFit="1" customWidth="1"/>
    <col min="3" max="3" width="8.54296875" style="6" bestFit="1" customWidth="1"/>
    <col min="4" max="4" width="13.81640625" style="7" bestFit="1" customWidth="1"/>
    <col min="5" max="5" width="11.08984375" style="7" bestFit="1" customWidth="1"/>
    <col min="6" max="6" width="12.26953125" style="6" bestFit="1" customWidth="1"/>
    <col min="7" max="7" width="18.54296875" style="6" bestFit="1" customWidth="1"/>
    <col min="8" max="8" width="9.1796875" style="6" bestFit="1" customWidth="1"/>
    <col min="9" max="9" width="11.6328125" style="6" bestFit="1" customWidth="1"/>
    <col min="10" max="16384" width="10.90625" style="6"/>
  </cols>
  <sheetData>
    <row r="1" spans="1:11">
      <c r="A1" s="84" t="s">
        <v>48</v>
      </c>
      <c r="B1" s="84"/>
      <c r="C1" s="84"/>
      <c r="D1" s="84"/>
      <c r="E1" s="84"/>
      <c r="F1" s="84"/>
      <c r="G1" s="84"/>
      <c r="H1" s="84"/>
      <c r="I1" s="84"/>
    </row>
    <row r="2" spans="1:11">
      <c r="A2" s="83" t="s">
        <v>45</v>
      </c>
      <c r="B2" s="83"/>
      <c r="C2" s="83"/>
      <c r="D2" s="83"/>
      <c r="E2" s="83"/>
      <c r="F2" s="83"/>
      <c r="G2" s="83"/>
      <c r="H2" s="83"/>
      <c r="I2" s="83"/>
    </row>
    <row r="3" spans="1:11" s="8" customFormat="1" ht="29">
      <c r="A3" s="11" t="s">
        <v>0</v>
      </c>
      <c r="B3" s="11" t="s">
        <v>1</v>
      </c>
      <c r="C3" s="11" t="s">
        <v>4</v>
      </c>
      <c r="D3" s="12" t="s">
        <v>5</v>
      </c>
      <c r="E3" s="12" t="s">
        <v>41</v>
      </c>
      <c r="F3" s="18" t="s">
        <v>46</v>
      </c>
      <c r="G3" s="11" t="s">
        <v>33</v>
      </c>
      <c r="H3" s="11" t="s">
        <v>42</v>
      </c>
      <c r="I3" s="11" t="s">
        <v>23</v>
      </c>
    </row>
    <row r="4" spans="1:11">
      <c r="A4" s="13">
        <v>45566</v>
      </c>
      <c r="B4" s="14" t="s">
        <v>2</v>
      </c>
      <c r="C4" s="14">
        <v>5</v>
      </c>
      <c r="D4" s="15">
        <v>400</v>
      </c>
      <c r="E4" s="15">
        <f>+C4*D4</f>
        <v>2000</v>
      </c>
      <c r="F4" s="14"/>
      <c r="G4" s="14"/>
      <c r="H4" s="14"/>
      <c r="I4" s="14"/>
    </row>
    <row r="5" spans="1:11">
      <c r="A5" s="13">
        <v>45567</v>
      </c>
      <c r="B5" s="14" t="s">
        <v>3</v>
      </c>
      <c r="C5" s="14">
        <v>20</v>
      </c>
      <c r="D5" s="15">
        <v>415</v>
      </c>
      <c r="E5" s="15">
        <f>+C5*D5</f>
        <v>8300</v>
      </c>
      <c r="F5" s="16">
        <v>0.1</v>
      </c>
      <c r="G5" s="15">
        <f>+E5*F5</f>
        <v>830</v>
      </c>
      <c r="H5" s="17">
        <f>+E5-G5</f>
        <v>7470</v>
      </c>
      <c r="I5" s="14"/>
      <c r="K5" s="7"/>
    </row>
    <row r="6" spans="1:11">
      <c r="A6" s="13">
        <v>45570</v>
      </c>
      <c r="B6" s="14" t="s">
        <v>6</v>
      </c>
      <c r="C6" s="14">
        <v>3</v>
      </c>
      <c r="D6" s="15">
        <f>+D5</f>
        <v>415</v>
      </c>
      <c r="E6" s="15">
        <f>+C6*D6</f>
        <v>1245</v>
      </c>
      <c r="F6" s="16">
        <v>0.1</v>
      </c>
      <c r="G6" s="15">
        <f>+E6*F6</f>
        <v>124.5</v>
      </c>
      <c r="H6" s="17">
        <f>+E6-G6</f>
        <v>1120.5</v>
      </c>
      <c r="I6" s="14"/>
    </row>
    <row r="7" spans="1:11">
      <c r="A7" s="13">
        <v>45571</v>
      </c>
      <c r="B7" s="14" t="s">
        <v>7</v>
      </c>
      <c r="C7" s="14">
        <v>20</v>
      </c>
      <c r="D7" s="15">
        <f>+E13</f>
        <v>455.43</v>
      </c>
      <c r="E7" s="15">
        <f>+C7*D7</f>
        <v>9108.6</v>
      </c>
      <c r="F7" s="16">
        <v>0.08</v>
      </c>
      <c r="G7" s="15">
        <f t="shared" ref="G7:G8" si="0">+E7*F7</f>
        <v>728.68799999999999</v>
      </c>
      <c r="H7" s="17">
        <f t="shared" ref="H7:H8" si="1">+E7-G7</f>
        <v>8379.9120000000003</v>
      </c>
      <c r="I7" s="16">
        <v>0.2</v>
      </c>
    </row>
    <row r="8" spans="1:11">
      <c r="A8" s="13">
        <v>45575</v>
      </c>
      <c r="B8" s="14" t="s">
        <v>8</v>
      </c>
      <c r="C8" s="14">
        <v>5</v>
      </c>
      <c r="D8" s="15">
        <f>+D7</f>
        <v>455.43</v>
      </c>
      <c r="E8" s="15">
        <f>+C8*D8</f>
        <v>2277.15</v>
      </c>
      <c r="F8" s="16">
        <v>0.08</v>
      </c>
      <c r="G8" s="15">
        <f t="shared" si="0"/>
        <v>182.172</v>
      </c>
      <c r="H8" s="17">
        <f t="shared" si="1"/>
        <v>2094.9780000000001</v>
      </c>
      <c r="I8" s="14"/>
    </row>
    <row r="11" spans="1:11">
      <c r="B11" s="20" t="s">
        <v>39</v>
      </c>
      <c r="C11" s="21"/>
      <c r="D11" s="22"/>
      <c r="E11" s="23">
        <f>+kardex!J9</f>
        <v>379.52272727272725</v>
      </c>
    </row>
    <row r="12" spans="1:11">
      <c r="B12" s="24" t="s">
        <v>40</v>
      </c>
      <c r="C12" s="25"/>
      <c r="D12" s="26"/>
      <c r="E12" s="27">
        <f>+E11*20%</f>
        <v>75.904545454545456</v>
      </c>
    </row>
    <row r="13" spans="1:11">
      <c r="B13" s="28" t="s">
        <v>47</v>
      </c>
      <c r="C13" s="29"/>
      <c r="D13" s="30"/>
      <c r="E13" s="31">
        <f>+ROUND((E11+E12),2)</f>
        <v>455.43</v>
      </c>
    </row>
  </sheetData>
  <mergeCells count="2">
    <mergeCell ref="A2:I2"/>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CA43-EDEF-4F56-A490-2EE138BA3FC9}">
  <dimension ref="A1:K19"/>
  <sheetViews>
    <sheetView zoomScale="85" zoomScaleNormal="85" workbookViewId="0">
      <selection activeCell="E12" sqref="E12"/>
    </sheetView>
  </sheetViews>
  <sheetFormatPr baseColWidth="10" defaultRowHeight="14.5"/>
  <cols>
    <col min="1" max="1" width="13.1796875" style="6" customWidth="1"/>
    <col min="2" max="2" width="25.81640625" style="6" customWidth="1"/>
    <col min="3" max="3" width="13.90625" style="6" bestFit="1" customWidth="1"/>
    <col min="4" max="4" width="20.08984375" style="7" customWidth="1"/>
    <col min="5" max="5" width="16.7265625" style="7" bestFit="1" customWidth="1"/>
    <col min="6" max="6" width="11.6328125" style="6" bestFit="1" customWidth="1"/>
    <col min="7" max="7" width="19.90625" style="6" bestFit="1" customWidth="1"/>
    <col min="8" max="8" width="16.7265625" style="7" bestFit="1" customWidth="1"/>
    <col min="9" max="9" width="16.6328125" style="6" bestFit="1" customWidth="1"/>
    <col min="10" max="10" width="19.90625" style="7" bestFit="1" customWidth="1"/>
    <col min="11" max="11" width="17.6328125" style="7" bestFit="1" customWidth="1"/>
    <col min="12" max="16384" width="10.90625" style="6"/>
  </cols>
  <sheetData>
    <row r="1" spans="1:11">
      <c r="A1" s="88" t="s">
        <v>48</v>
      </c>
      <c r="B1" s="88"/>
      <c r="C1" s="88"/>
      <c r="D1" s="88"/>
      <c r="E1" s="88"/>
      <c r="F1" s="88"/>
      <c r="G1" s="88"/>
      <c r="H1" s="88"/>
      <c r="I1" s="88"/>
      <c r="J1" s="88"/>
      <c r="K1" s="88"/>
    </row>
    <row r="2" spans="1:11">
      <c r="A2" s="88" t="s">
        <v>49</v>
      </c>
      <c r="B2" s="88"/>
      <c r="C2" s="88"/>
      <c r="D2" s="88"/>
      <c r="E2" s="88"/>
      <c r="F2" s="88"/>
      <c r="G2" s="88"/>
      <c r="H2" s="88"/>
      <c r="I2" s="88"/>
      <c r="J2" s="88"/>
      <c r="K2" s="88"/>
    </row>
    <row r="3" spans="1:11">
      <c r="A3" s="88" t="s">
        <v>50</v>
      </c>
      <c r="B3" s="88"/>
      <c r="C3" s="88"/>
      <c r="D3" s="88"/>
      <c r="E3" s="88"/>
      <c r="F3" s="88"/>
      <c r="G3" s="88"/>
      <c r="H3" s="88"/>
      <c r="I3" s="88"/>
      <c r="J3" s="88"/>
      <c r="K3" s="88"/>
    </row>
    <row r="5" spans="1:11">
      <c r="A5" s="1" t="s">
        <v>44</v>
      </c>
      <c r="B5" s="2" t="s">
        <v>43</v>
      </c>
      <c r="C5" s="1" t="s">
        <v>9</v>
      </c>
      <c r="D5" s="5" t="s">
        <v>10</v>
      </c>
      <c r="E5" s="5" t="s">
        <v>11</v>
      </c>
      <c r="F5" s="1" t="s">
        <v>12</v>
      </c>
      <c r="G5" s="1" t="s">
        <v>13</v>
      </c>
      <c r="H5" s="5" t="s">
        <v>14</v>
      </c>
      <c r="I5" s="1" t="s">
        <v>15</v>
      </c>
      <c r="J5" s="5" t="s">
        <v>16</v>
      </c>
      <c r="K5" s="5" t="s">
        <v>17</v>
      </c>
    </row>
    <row r="6" spans="1:11">
      <c r="A6" s="1" t="s">
        <v>18</v>
      </c>
      <c r="B6" s="2" t="s">
        <v>19</v>
      </c>
      <c r="C6" s="3" t="s">
        <v>20</v>
      </c>
      <c r="D6" s="4" t="s">
        <v>21</v>
      </c>
      <c r="E6" s="4" t="s">
        <v>22</v>
      </c>
      <c r="F6" s="3" t="s">
        <v>20</v>
      </c>
      <c r="G6" s="4" t="s">
        <v>21</v>
      </c>
      <c r="H6" s="4" t="s">
        <v>22</v>
      </c>
      <c r="I6" s="3" t="s">
        <v>20</v>
      </c>
      <c r="J6" s="4" t="s">
        <v>21</v>
      </c>
      <c r="K6" s="4" t="s">
        <v>22</v>
      </c>
    </row>
    <row r="7" spans="1:11">
      <c r="A7" s="9">
        <f>+'Ejercicio 1'!A4</f>
        <v>45566</v>
      </c>
      <c r="B7" s="9" t="str">
        <f>+'Ejercicio 1'!B4</f>
        <v>Inventario Inicial</v>
      </c>
      <c r="I7" s="6">
        <f>+'Ejercicio 1'!C4</f>
        <v>5</v>
      </c>
      <c r="J7" s="7">
        <f>+'Ejercicio 1'!D4</f>
        <v>400</v>
      </c>
      <c r="K7" s="7">
        <f>+Tabla2[[#This Row],[EXISTENCIAS]]*Tabla2[[#This Row],[EXISTENCIAS2]]</f>
        <v>2000</v>
      </c>
    </row>
    <row r="8" spans="1:11">
      <c r="A8" s="9">
        <f>+'Ejercicio 1'!A5</f>
        <v>45567</v>
      </c>
      <c r="B8" s="9" t="str">
        <f>+'Ejercicio 1'!B5</f>
        <v>Compra</v>
      </c>
      <c r="C8" s="6">
        <f>+'Ejercicio 1'!C5</f>
        <v>20</v>
      </c>
      <c r="D8" s="7">
        <f>+'Ejercicio 1'!D5-('Ejercicio 1'!D5*'Ejercicio 1'!F5)</f>
        <v>373.5</v>
      </c>
      <c r="E8" s="7">
        <f>+Tabla2[[#This Row],[ENTRADAS]]*Tabla2[[#This Row],[ENTRADAS2]]</f>
        <v>7470</v>
      </c>
      <c r="I8" s="6">
        <f>+I7+Tabla2[[#This Row],[ENTRADAS]]-Tabla2[[#This Row],[SALIDAS]]</f>
        <v>25</v>
      </c>
      <c r="J8" s="7">
        <f>+Tabla2[[#This Row],[EXISTENCIAS3]]/Tabla2[[#This Row],[EXISTENCIAS]]</f>
        <v>378.8</v>
      </c>
      <c r="K8" s="7">
        <f>+K7+Tabla2[[#This Row],[ENTRADAS3]]-Tabla2[[#This Row],[SALIDAS3]]</f>
        <v>9470</v>
      </c>
    </row>
    <row r="9" spans="1:11">
      <c r="A9" s="9">
        <f>+'Ejercicio 1'!A6</f>
        <v>45570</v>
      </c>
      <c r="B9" s="9" t="str">
        <f>+'Ejercicio 1'!B6</f>
        <v>Devolución de compra</v>
      </c>
      <c r="C9" s="6">
        <f>-'Ejercicio 1'!C6</f>
        <v>-3</v>
      </c>
      <c r="D9" s="7">
        <f>+D8</f>
        <v>373.5</v>
      </c>
      <c r="E9" s="7">
        <f>+Tabla2[[#This Row],[ENTRADAS]]*Tabla2[[#This Row],[ENTRADAS2]]</f>
        <v>-1120.5</v>
      </c>
      <c r="I9" s="6">
        <f>+I8+Tabla2[[#This Row],[ENTRADAS]]-Tabla2[[#This Row],[SALIDAS]]</f>
        <v>22</v>
      </c>
      <c r="J9" s="7">
        <f>+Tabla2[[#This Row],[EXISTENCIAS3]]/Tabla2[[#This Row],[EXISTENCIAS]]</f>
        <v>379.52272727272725</v>
      </c>
      <c r="K9" s="7">
        <f>+K8+Tabla2[[#This Row],[ENTRADAS3]]-Tabla2[[#This Row],[SALIDAS3]]</f>
        <v>8349.5</v>
      </c>
    </row>
    <row r="10" spans="1:11">
      <c r="A10" s="9">
        <f>+'Ejercicio 1'!A7</f>
        <v>45571</v>
      </c>
      <c r="B10" s="9" t="str">
        <f>+'Ejercicio 1'!B7</f>
        <v>Venta</v>
      </c>
      <c r="F10" s="6">
        <f>+'Ejercicio 1'!C7</f>
        <v>20</v>
      </c>
      <c r="G10" s="10">
        <f>+J9</f>
        <v>379.52272727272725</v>
      </c>
      <c r="H10" s="7">
        <f>+Tabla2[[#This Row],[SALIDAS]]*Tabla2[[#This Row],[SALIDAS2]]</f>
        <v>7590.454545454545</v>
      </c>
      <c r="I10" s="6">
        <f>+I9+Tabla2[[#This Row],[ENTRADAS]]-Tabla2[[#This Row],[SALIDAS]]</f>
        <v>2</v>
      </c>
      <c r="J10" s="7">
        <f>+Tabla2[[#This Row],[EXISTENCIAS3]]/Tabla2[[#This Row],[EXISTENCIAS]]</f>
        <v>379.52272727272748</v>
      </c>
      <c r="K10" s="7">
        <f>+K9+Tabla2[[#This Row],[ENTRADAS3]]-Tabla2[[#This Row],[SALIDAS3]]</f>
        <v>759.04545454545496</v>
      </c>
    </row>
    <row r="11" spans="1:11">
      <c r="A11" s="9">
        <f>+'Ejercicio 1'!A8</f>
        <v>45575</v>
      </c>
      <c r="B11" s="9" t="str">
        <f>+'Ejercicio 1'!B8</f>
        <v xml:space="preserve">Devolución </v>
      </c>
      <c r="F11" s="6">
        <f>-'Ejercicio 1'!C8</f>
        <v>-5</v>
      </c>
      <c r="G11" s="10">
        <f>+J10</f>
        <v>379.52272727272748</v>
      </c>
      <c r="H11" s="7">
        <f>+Tabla2[[#This Row],[SALIDAS2]]*Tabla2[[#This Row],[SALIDAS]]</f>
        <v>-1897.6136363636374</v>
      </c>
      <c r="I11" s="32">
        <f>+I10+Tabla2[[#This Row],[ENTRADAS]]-Tabla2[[#This Row],[SALIDAS]]</f>
        <v>7</v>
      </c>
      <c r="J11" s="19">
        <f>+Tabla2[[#This Row],[EXISTENCIAS3]]/Tabla2[[#This Row],[EXISTENCIAS]]</f>
        <v>379.52272727272748</v>
      </c>
      <c r="K11" s="19">
        <f>+K10+Tabla2[[#This Row],[ENTRADAS3]]-Tabla2[[#This Row],[SALIDAS3]]</f>
        <v>2656.6590909090924</v>
      </c>
    </row>
    <row r="12" spans="1:11" ht="58">
      <c r="G12" s="10"/>
      <c r="I12" s="33" t="s">
        <v>51</v>
      </c>
      <c r="J12" s="34" t="s">
        <v>52</v>
      </c>
      <c r="K12" s="34" t="s">
        <v>53</v>
      </c>
    </row>
    <row r="13" spans="1:11">
      <c r="D13" s="7" t="s">
        <v>88</v>
      </c>
      <c r="G13" s="6" t="s">
        <v>89</v>
      </c>
    </row>
    <row r="14" spans="1:11">
      <c r="D14" s="87"/>
      <c r="E14" s="87"/>
    </row>
    <row r="15" spans="1:11">
      <c r="D15" s="6"/>
      <c r="E15" s="6"/>
    </row>
    <row r="16" spans="1:11">
      <c r="C16" s="83" t="s">
        <v>92</v>
      </c>
      <c r="D16" s="83"/>
      <c r="E16" s="83"/>
    </row>
    <row r="17" spans="3:5">
      <c r="C17" s="85" t="s">
        <v>36</v>
      </c>
      <c r="D17" s="86"/>
      <c r="E17" s="15">
        <f>+'registro contable'!F29</f>
        <v>9108.6</v>
      </c>
    </row>
    <row r="18" spans="3:5">
      <c r="C18" s="85" t="s">
        <v>90</v>
      </c>
      <c r="D18" s="86"/>
      <c r="E18" s="17">
        <f>+H10</f>
        <v>7590.454545454545</v>
      </c>
    </row>
    <row r="19" spans="3:5">
      <c r="C19" s="85" t="s">
        <v>91</v>
      </c>
      <c r="D19" s="86"/>
      <c r="E19" s="15">
        <f>+E17-E18</f>
        <v>1518.1454545454553</v>
      </c>
    </row>
  </sheetData>
  <mergeCells count="8">
    <mergeCell ref="C18:D18"/>
    <mergeCell ref="C19:D19"/>
    <mergeCell ref="D14:E14"/>
    <mergeCell ref="A1:K1"/>
    <mergeCell ref="A2:K2"/>
    <mergeCell ref="A3:K3"/>
    <mergeCell ref="C16:E16"/>
    <mergeCell ref="C17:D17"/>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DBD1-598C-4271-9296-239CEFF02B97}">
  <dimension ref="A1:H39"/>
  <sheetViews>
    <sheetView topLeftCell="A22" workbookViewId="0">
      <selection sqref="A1:F1"/>
    </sheetView>
  </sheetViews>
  <sheetFormatPr baseColWidth="10" defaultRowHeight="14"/>
  <cols>
    <col min="1" max="1" width="10.90625" style="36"/>
    <col min="2" max="2" width="30.26953125" style="36" bestFit="1" customWidth="1"/>
    <col min="3" max="3" width="43.54296875" style="36" bestFit="1" customWidth="1"/>
    <col min="4" max="4" width="16.7265625" style="36" customWidth="1"/>
    <col min="5" max="6" width="10.90625" style="37"/>
    <col min="7" max="7" width="15.7265625" style="36" bestFit="1" customWidth="1"/>
    <col min="8" max="16384" width="10.90625" style="36"/>
  </cols>
  <sheetData>
    <row r="1" spans="1:7">
      <c r="A1" s="92" t="str">
        <f>+kardex!A1</f>
        <v>EMPRESA ELECTROECUADOR</v>
      </c>
      <c r="B1" s="92"/>
      <c r="C1" s="92"/>
      <c r="D1" s="92"/>
      <c r="E1" s="92"/>
      <c r="F1" s="92"/>
    </row>
    <row r="2" spans="1:7">
      <c r="A2" s="92" t="s">
        <v>54</v>
      </c>
      <c r="B2" s="92"/>
      <c r="C2" s="92"/>
      <c r="D2" s="92"/>
      <c r="E2" s="92"/>
      <c r="F2" s="92"/>
    </row>
    <row r="3" spans="1:7">
      <c r="A3" s="92" t="str">
        <f>+kardex!A3</f>
        <v>DEL 01 AL 31 DE OCTUBRE DE 2024</v>
      </c>
      <c r="B3" s="92"/>
      <c r="C3" s="92"/>
      <c r="D3" s="92"/>
      <c r="E3" s="92"/>
      <c r="F3" s="92"/>
    </row>
    <row r="5" spans="1:7" s="35" customFormat="1">
      <c r="A5" s="41" t="s">
        <v>0</v>
      </c>
      <c r="B5" s="91" t="s">
        <v>24</v>
      </c>
      <c r="C5" s="91"/>
      <c r="D5" s="44" t="s">
        <v>25</v>
      </c>
      <c r="E5" s="39" t="s">
        <v>26</v>
      </c>
      <c r="F5" s="39" t="s">
        <v>27</v>
      </c>
      <c r="G5" s="51" t="s">
        <v>57</v>
      </c>
    </row>
    <row r="6" spans="1:7" s="35" customFormat="1">
      <c r="A6" s="47"/>
      <c r="B6" s="89">
        <v>1</v>
      </c>
      <c r="C6" s="90"/>
      <c r="D6" s="48"/>
      <c r="E6" s="49"/>
      <c r="F6" s="49"/>
      <c r="G6" s="51" t="s">
        <v>71</v>
      </c>
    </row>
    <row r="7" spans="1:7" s="35" customFormat="1">
      <c r="A7" s="43">
        <f>+'Ejercicio 1'!A4</f>
        <v>45566</v>
      </c>
      <c r="B7" s="42" t="s">
        <v>72</v>
      </c>
      <c r="C7" s="45"/>
      <c r="D7" s="45"/>
      <c r="E7" s="40">
        <f>+'Ejercicio 1'!E4</f>
        <v>2000</v>
      </c>
      <c r="F7" s="40"/>
      <c r="G7" s="52" t="s">
        <v>74</v>
      </c>
    </row>
    <row r="8" spans="1:7" s="35" customFormat="1">
      <c r="A8" s="42"/>
      <c r="B8" s="42"/>
      <c r="C8" s="45" t="s">
        <v>73</v>
      </c>
      <c r="D8" s="46"/>
      <c r="E8" s="40"/>
      <c r="F8" s="40">
        <f>+E7</f>
        <v>2000</v>
      </c>
      <c r="G8" s="52" t="s">
        <v>75</v>
      </c>
    </row>
    <row r="9" spans="1:7" s="35" customFormat="1">
      <c r="A9" s="42"/>
      <c r="B9" s="42" t="s">
        <v>76</v>
      </c>
      <c r="C9" s="45"/>
      <c r="D9" s="46"/>
      <c r="E9" s="40"/>
      <c r="F9" s="40"/>
      <c r="G9" s="51"/>
    </row>
    <row r="10" spans="1:7">
      <c r="A10" s="47"/>
      <c r="B10" s="89">
        <v>2</v>
      </c>
      <c r="C10" s="90"/>
      <c r="D10" s="48"/>
      <c r="E10" s="49">
        <f>+SUM(E7:E9)</f>
        <v>2000</v>
      </c>
      <c r="F10" s="49">
        <f>+SUM(F7:F9)</f>
        <v>2000</v>
      </c>
      <c r="G10" s="51"/>
    </row>
    <row r="11" spans="1:7">
      <c r="A11" s="43">
        <f>+'Ejercicio 1'!A5</f>
        <v>45567</v>
      </c>
      <c r="B11" s="42" t="s">
        <v>28</v>
      </c>
      <c r="C11" s="45"/>
      <c r="D11" s="45"/>
      <c r="E11" s="40">
        <f>+'Ejercicio 1'!E5</f>
        <v>8300</v>
      </c>
      <c r="F11" s="40"/>
      <c r="G11" s="36" t="s">
        <v>58</v>
      </c>
    </row>
    <row r="12" spans="1:7">
      <c r="A12" s="42"/>
      <c r="B12" s="42" t="s">
        <v>32</v>
      </c>
      <c r="C12" s="45"/>
      <c r="D12" s="46">
        <f>+E11</f>
        <v>8300</v>
      </c>
      <c r="E12" s="40"/>
      <c r="F12" s="40"/>
      <c r="G12" s="36" t="s">
        <v>65</v>
      </c>
    </row>
    <row r="13" spans="1:7">
      <c r="A13" s="42"/>
      <c r="B13" s="42" t="s">
        <v>29</v>
      </c>
      <c r="C13" s="45"/>
      <c r="D13" s="45"/>
      <c r="E13" s="40">
        <f>+(E11-F17)*15%</f>
        <v>1120.5</v>
      </c>
      <c r="F13" s="40"/>
      <c r="G13" s="36" t="s">
        <v>59</v>
      </c>
    </row>
    <row r="14" spans="1:7">
      <c r="A14" s="42"/>
      <c r="B14" s="42"/>
      <c r="C14" s="45" t="s">
        <v>68</v>
      </c>
      <c r="D14" s="45"/>
      <c r="E14" s="40"/>
      <c r="F14" s="40">
        <f>+E18-F15-F16-F17</f>
        <v>8123.625</v>
      </c>
      <c r="G14" s="36" t="s">
        <v>69</v>
      </c>
    </row>
    <row r="15" spans="1:7">
      <c r="A15" s="42"/>
      <c r="B15" s="42"/>
      <c r="C15" s="45" t="s">
        <v>30</v>
      </c>
      <c r="D15" s="45"/>
      <c r="E15" s="40"/>
      <c r="F15" s="40">
        <f>+'Ejercicio 1'!H5*1.75%</f>
        <v>130.72500000000002</v>
      </c>
      <c r="G15" s="36" t="s">
        <v>61</v>
      </c>
    </row>
    <row r="16" spans="1:7">
      <c r="A16" s="42"/>
      <c r="B16" s="42"/>
      <c r="C16" s="45" t="s">
        <v>63</v>
      </c>
      <c r="D16" s="45"/>
      <c r="E16" s="40"/>
      <c r="F16" s="40">
        <f>+E13*30%</f>
        <v>336.15</v>
      </c>
      <c r="G16" s="36" t="s">
        <v>62</v>
      </c>
    </row>
    <row r="17" spans="1:8">
      <c r="A17" s="42"/>
      <c r="B17" s="42"/>
      <c r="C17" s="45" t="s">
        <v>31</v>
      </c>
      <c r="D17" s="45"/>
      <c r="E17" s="40"/>
      <c r="F17" s="40">
        <f>+E11*'Ejercicio 1'!F5</f>
        <v>830</v>
      </c>
      <c r="G17" s="36" t="s">
        <v>60</v>
      </c>
      <c r="H17" s="38"/>
    </row>
    <row r="18" spans="1:8">
      <c r="A18" s="42"/>
      <c r="B18" s="42" t="s">
        <v>55</v>
      </c>
      <c r="C18" s="45"/>
      <c r="D18" s="45"/>
      <c r="E18" s="40">
        <f>+SUM(E11:E17)</f>
        <v>9420.5</v>
      </c>
      <c r="F18" s="40">
        <f>+SUM(F11:F17)</f>
        <v>9420.5</v>
      </c>
    </row>
    <row r="19" spans="1:8">
      <c r="A19" s="47"/>
      <c r="B19" s="93">
        <v>3</v>
      </c>
      <c r="C19" s="94"/>
      <c r="D19" s="48"/>
      <c r="E19" s="50"/>
      <c r="F19" s="50"/>
      <c r="G19" s="38"/>
    </row>
    <row r="20" spans="1:8">
      <c r="A20" s="43">
        <f>+'Ejercicio 1'!A6</f>
        <v>45570</v>
      </c>
      <c r="B20" s="42" t="str">
        <f>+C14</f>
        <v>Documentos por pagar</v>
      </c>
      <c r="C20" s="45"/>
      <c r="D20" s="45"/>
      <c r="E20" s="40">
        <f>+F22+F24-E21</f>
        <v>1288.575</v>
      </c>
      <c r="F20" s="40"/>
      <c r="G20" s="36" t="s">
        <v>77</v>
      </c>
    </row>
    <row r="21" spans="1:8">
      <c r="A21" s="42"/>
      <c r="B21" s="42" t="s">
        <v>31</v>
      </c>
      <c r="C21" s="45"/>
      <c r="D21" s="45"/>
      <c r="E21" s="40">
        <f>+F22*10%</f>
        <v>124.5</v>
      </c>
      <c r="F21" s="40"/>
      <c r="G21" s="36" t="s">
        <v>67</v>
      </c>
    </row>
    <row r="22" spans="1:8">
      <c r="A22" s="42"/>
      <c r="B22" s="42"/>
      <c r="C22" s="45" t="s">
        <v>34</v>
      </c>
      <c r="D22" s="45"/>
      <c r="E22" s="40"/>
      <c r="F22" s="40">
        <f>+'Ejercicio 1'!E6</f>
        <v>1245</v>
      </c>
      <c r="G22" s="36" t="s">
        <v>64</v>
      </c>
    </row>
    <row r="23" spans="1:8">
      <c r="A23" s="42"/>
      <c r="B23" s="42"/>
      <c r="C23" s="45" t="str">
        <f>+B12</f>
        <v>Lavadoras</v>
      </c>
      <c r="D23" s="46">
        <f>+F22</f>
        <v>1245</v>
      </c>
      <c r="E23" s="40"/>
      <c r="F23" s="40"/>
      <c r="G23" s="36" t="s">
        <v>65</v>
      </c>
    </row>
    <row r="24" spans="1:8">
      <c r="A24" s="42"/>
      <c r="B24" s="42"/>
      <c r="C24" s="45" t="s">
        <v>29</v>
      </c>
      <c r="D24" s="45"/>
      <c r="E24" s="40"/>
      <c r="F24" s="40">
        <f>+'Ejercicio 1'!H6*15%</f>
        <v>168.07499999999999</v>
      </c>
      <c r="G24" s="36" t="s">
        <v>66</v>
      </c>
    </row>
    <row r="25" spans="1:8">
      <c r="A25" s="42"/>
      <c r="B25" s="42" t="s">
        <v>56</v>
      </c>
      <c r="C25" s="45"/>
      <c r="D25" s="45"/>
      <c r="E25" s="40">
        <f>+SUM(E20:E24)</f>
        <v>1413.075</v>
      </c>
      <c r="F25" s="40">
        <f>+SUM(F20:F24)</f>
        <v>1413.075</v>
      </c>
    </row>
    <row r="26" spans="1:8">
      <c r="A26" s="47"/>
      <c r="B26" s="93">
        <v>4</v>
      </c>
      <c r="C26" s="94"/>
      <c r="D26" s="48"/>
      <c r="E26" s="49"/>
      <c r="F26" s="49"/>
    </row>
    <row r="27" spans="1:8">
      <c r="A27" s="43">
        <f>+'Ejercicio 1'!A7</f>
        <v>45571</v>
      </c>
      <c r="B27" s="42" t="s">
        <v>70</v>
      </c>
      <c r="C27" s="45"/>
      <c r="D27" s="45"/>
      <c r="E27" s="40">
        <f>+F29+F31-E28</f>
        <v>9636.8988000000008</v>
      </c>
      <c r="F27" s="40"/>
      <c r="G27" s="36" t="s">
        <v>84</v>
      </c>
    </row>
    <row r="28" spans="1:8">
      <c r="A28" s="42"/>
      <c r="B28" s="42" t="s">
        <v>35</v>
      </c>
      <c r="C28" s="45"/>
      <c r="D28" s="45"/>
      <c r="E28" s="40">
        <f>+'Ejercicio 1'!G7</f>
        <v>728.68799999999999</v>
      </c>
      <c r="F28" s="40"/>
      <c r="G28" s="36" t="s">
        <v>81</v>
      </c>
    </row>
    <row r="29" spans="1:8">
      <c r="A29" s="42"/>
      <c r="B29" s="42"/>
      <c r="C29" s="45" t="s">
        <v>36</v>
      </c>
      <c r="D29" s="45"/>
      <c r="E29" s="40"/>
      <c r="F29" s="40">
        <f>+'Ejercicio 1'!E7</f>
        <v>9108.6</v>
      </c>
      <c r="G29" s="36" t="s">
        <v>79</v>
      </c>
    </row>
    <row r="30" spans="1:8">
      <c r="A30" s="42"/>
      <c r="B30" s="42"/>
      <c r="C30" s="45" t="str">
        <f>+C23</f>
        <v>Lavadoras</v>
      </c>
      <c r="D30" s="46">
        <f>+F29</f>
        <v>9108.6</v>
      </c>
      <c r="E30" s="40"/>
      <c r="F30" s="40"/>
      <c r="G30" s="36" t="s">
        <v>65</v>
      </c>
    </row>
    <row r="31" spans="1:8">
      <c r="A31" s="42"/>
      <c r="B31" s="42"/>
      <c r="C31" s="45" t="s">
        <v>37</v>
      </c>
      <c r="D31" s="45"/>
      <c r="E31" s="40"/>
      <c r="F31" s="40">
        <f>+'Ejercicio 1'!H7*15%</f>
        <v>1256.9867999999999</v>
      </c>
      <c r="G31" s="36" t="s">
        <v>80</v>
      </c>
    </row>
    <row r="32" spans="1:8">
      <c r="A32" s="42"/>
      <c r="B32" s="42" t="s">
        <v>78</v>
      </c>
      <c r="C32" s="45"/>
      <c r="D32" s="45"/>
      <c r="E32" s="40"/>
      <c r="F32" s="40"/>
    </row>
    <row r="33" spans="1:7">
      <c r="A33" s="47"/>
      <c r="B33" s="89">
        <v>5</v>
      </c>
      <c r="C33" s="90"/>
      <c r="D33" s="48"/>
      <c r="E33" s="49"/>
      <c r="F33" s="49"/>
    </row>
    <row r="34" spans="1:7">
      <c r="A34" s="43">
        <f>+'Ejercicio 1'!A8</f>
        <v>45575</v>
      </c>
      <c r="B34" s="42" t="s">
        <v>38</v>
      </c>
      <c r="C34" s="45"/>
      <c r="D34" s="45"/>
      <c r="E34" s="40">
        <f>+'Ejercicio 1'!E8</f>
        <v>2277.15</v>
      </c>
      <c r="F34" s="40"/>
      <c r="G34" s="36" t="s">
        <v>82</v>
      </c>
    </row>
    <row r="35" spans="1:7">
      <c r="A35" s="42"/>
      <c r="B35" s="42" t="str">
        <f>+C30</f>
        <v>Lavadoras</v>
      </c>
      <c r="C35" s="45"/>
      <c r="D35" s="46">
        <f>+E34</f>
        <v>2277.15</v>
      </c>
      <c r="E35" s="40"/>
      <c r="F35" s="40"/>
      <c r="G35" s="36" t="s">
        <v>65</v>
      </c>
    </row>
    <row r="36" spans="1:7">
      <c r="A36" s="42"/>
      <c r="B36" s="42" t="s">
        <v>37</v>
      </c>
      <c r="C36" s="45"/>
      <c r="D36" s="45"/>
      <c r="E36" s="40">
        <f>+'Ejercicio 1'!H8*15%</f>
        <v>314.24669999999998</v>
      </c>
      <c r="F36" s="40"/>
      <c r="G36" s="36" t="s">
        <v>83</v>
      </c>
    </row>
    <row r="37" spans="1:7">
      <c r="A37" s="42"/>
      <c r="B37" s="42"/>
      <c r="C37" s="45" t="str">
        <f>+B27</f>
        <v>Cuentas por cobrar</v>
      </c>
      <c r="D37" s="45"/>
      <c r="E37" s="40"/>
      <c r="F37" s="40">
        <f>+E34+E36-F38</f>
        <v>2409.2247000000002</v>
      </c>
      <c r="G37" s="36" t="s">
        <v>85</v>
      </c>
    </row>
    <row r="38" spans="1:7">
      <c r="A38" s="42"/>
      <c r="B38" s="42"/>
      <c r="C38" s="45" t="s">
        <v>35</v>
      </c>
      <c r="D38" s="45"/>
      <c r="E38" s="40"/>
      <c r="F38" s="40">
        <f>+'Ejercicio 1'!G8</f>
        <v>182.172</v>
      </c>
      <c r="G38" s="36" t="s">
        <v>86</v>
      </c>
    </row>
    <row r="39" spans="1:7">
      <c r="A39" s="42"/>
      <c r="B39" s="42" t="s">
        <v>87</v>
      </c>
      <c r="C39" s="45"/>
      <c r="D39" s="45"/>
      <c r="E39" s="40"/>
      <c r="F39" s="40"/>
    </row>
  </sheetData>
  <mergeCells count="9">
    <mergeCell ref="B33:C33"/>
    <mergeCell ref="B5:C5"/>
    <mergeCell ref="B10:C10"/>
    <mergeCell ref="A1:F1"/>
    <mergeCell ref="A2:F2"/>
    <mergeCell ref="A3:F3"/>
    <mergeCell ref="B19:C19"/>
    <mergeCell ref="B26:C26"/>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0B0C-AED7-459F-893E-119BD201A8FC}">
  <dimension ref="A1:P4"/>
  <sheetViews>
    <sheetView topLeftCell="D1" workbookViewId="0">
      <selection activeCell="M3" sqref="M3"/>
    </sheetView>
  </sheetViews>
  <sheetFormatPr baseColWidth="10" defaultRowHeight="14.5"/>
  <cols>
    <col min="2" max="2" width="19.90625" bestFit="1" customWidth="1"/>
    <col min="3" max="3" width="16" style="60" bestFit="1" customWidth="1"/>
    <col min="4" max="4" width="15.08984375" bestFit="1" customWidth="1"/>
    <col min="15" max="16" width="10.90625" style="66"/>
  </cols>
  <sheetData>
    <row r="1" spans="1:16">
      <c r="A1" s="53" t="s">
        <v>93</v>
      </c>
      <c r="B1" s="54" t="s">
        <v>94</v>
      </c>
      <c r="C1" s="59" t="s">
        <v>95</v>
      </c>
      <c r="D1" s="54" t="s">
        <v>96</v>
      </c>
      <c r="E1" s="54" t="s">
        <v>97</v>
      </c>
      <c r="F1" s="54" t="s">
        <v>98</v>
      </c>
      <c r="G1" s="54" t="s">
        <v>99</v>
      </c>
      <c r="H1" s="54" t="s">
        <v>100</v>
      </c>
      <c r="I1" s="54" t="s">
        <v>63</v>
      </c>
      <c r="J1" s="54" t="s">
        <v>101</v>
      </c>
      <c r="K1" s="54" t="s">
        <v>102</v>
      </c>
      <c r="L1" s="54" t="s">
        <v>103</v>
      </c>
      <c r="M1" s="54" t="s">
        <v>104</v>
      </c>
      <c r="N1" s="54" t="s">
        <v>105</v>
      </c>
      <c r="O1" s="63" t="s">
        <v>106</v>
      </c>
      <c r="P1" s="65" t="s">
        <v>107</v>
      </c>
    </row>
    <row r="2" spans="1:16">
      <c r="A2" s="56">
        <f>+'Ejercicio 1'!A7</f>
        <v>45571</v>
      </c>
      <c r="B2" s="54" t="s">
        <v>113</v>
      </c>
      <c r="C2" s="61" t="s">
        <v>114</v>
      </c>
      <c r="D2" s="54" t="s">
        <v>115</v>
      </c>
      <c r="E2" s="62">
        <f>'Ejercicio 1'!H7</f>
        <v>8379.9120000000003</v>
      </c>
      <c r="F2" s="62">
        <f>+'registro contable'!F31</f>
        <v>1256.9867999999999</v>
      </c>
      <c r="G2" s="62">
        <f>+Tabla3[[#This Row],[Base Imposible USD]]+Tabla3[[#This Row],[Valor IVA]]</f>
        <v>9636.8988000000008</v>
      </c>
      <c r="H2" s="54">
        <v>0</v>
      </c>
      <c r="I2" s="54">
        <v>0</v>
      </c>
      <c r="J2" s="54">
        <v>0</v>
      </c>
      <c r="K2" s="63">
        <f>+Tabla3[[#This Row],[Total Facturado USD]]</f>
        <v>9636.8988000000008</v>
      </c>
      <c r="L2" s="57">
        <v>45602</v>
      </c>
      <c r="M2" s="58">
        <f ca="1">IF(TODAY()&gt;Tabla3[[#This Row],[Fecha de vencimiento]],TODAY()-Tabla3[[#This Row],[Fecha de vencimiento]],0)</f>
        <v>0</v>
      </c>
      <c r="N2" s="64"/>
      <c r="O2" s="63"/>
      <c r="P2" s="65">
        <f>+Tabla3[[#This Row],[Valor Crédito USD]]</f>
        <v>9636.8988000000008</v>
      </c>
    </row>
    <row r="3" spans="1:16">
      <c r="A3" s="56">
        <f>+'Ejercicio 1'!A8</f>
        <v>45575</v>
      </c>
      <c r="B3" s="54" t="s">
        <v>113</v>
      </c>
      <c r="C3" s="61" t="s">
        <v>114</v>
      </c>
      <c r="D3" s="54" t="s">
        <v>116</v>
      </c>
      <c r="E3" s="62">
        <f>'Ejercicio 1'!H8</f>
        <v>2094.9780000000001</v>
      </c>
      <c r="F3" s="62">
        <v>314.24669999999998</v>
      </c>
      <c r="G3" s="62">
        <v>2409.2247000000002</v>
      </c>
      <c r="H3" s="54">
        <v>0</v>
      </c>
      <c r="I3" s="54">
        <v>0</v>
      </c>
      <c r="J3" s="54">
        <v>0</v>
      </c>
      <c r="K3" s="63">
        <v>2409.2247000000002</v>
      </c>
      <c r="L3" s="54"/>
      <c r="M3" s="58"/>
      <c r="N3" s="54"/>
      <c r="O3" s="63"/>
      <c r="P3" s="65">
        <f>+Tabla3[[#This Row],[Valor Crédito USD]]</f>
        <v>2409.2247000000002</v>
      </c>
    </row>
    <row r="4" spans="1:16">
      <c r="A4" s="53"/>
      <c r="B4" s="54"/>
      <c r="C4" s="59"/>
      <c r="D4" s="54" t="s">
        <v>117</v>
      </c>
      <c r="E4" s="62">
        <f>+E2-E3</f>
        <v>6284.9340000000002</v>
      </c>
      <c r="F4" s="62">
        <f t="shared" ref="F4:P4" si="0">+F2-F3</f>
        <v>942.74009999999998</v>
      </c>
      <c r="G4" s="62">
        <f t="shared" si="0"/>
        <v>7227.6741000000002</v>
      </c>
      <c r="H4" s="62">
        <f t="shared" si="0"/>
        <v>0</v>
      </c>
      <c r="I4" s="62">
        <f t="shared" si="0"/>
        <v>0</v>
      </c>
      <c r="J4" s="62">
        <f t="shared" si="0"/>
        <v>0</v>
      </c>
      <c r="K4" s="62">
        <f t="shared" si="0"/>
        <v>7227.6741000000002</v>
      </c>
      <c r="L4" s="62"/>
      <c r="M4" s="62">
        <f t="shared" ca="1" si="0"/>
        <v>0</v>
      </c>
      <c r="N4" s="62">
        <f t="shared" si="0"/>
        <v>0</v>
      </c>
      <c r="O4" s="62">
        <f t="shared" si="0"/>
        <v>0</v>
      </c>
      <c r="P4" s="62">
        <f t="shared" si="0"/>
        <v>7227.6741000000002</v>
      </c>
    </row>
  </sheetData>
  <conditionalFormatting sqref="M2:M3">
    <cfRule type="cellIs" dxfId="19" priority="1" operator="greaterThan">
      <formula>1</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25A-99E2-4BB4-943D-180F6104A7DB}">
  <dimension ref="A1:Q13"/>
  <sheetViews>
    <sheetView workbookViewId="0">
      <selection activeCell="L4" sqref="L4"/>
    </sheetView>
  </sheetViews>
  <sheetFormatPr baseColWidth="10" defaultRowHeight="14.5"/>
  <cols>
    <col min="1" max="1" width="10.453125" customWidth="1"/>
    <col min="3" max="3" width="18.6328125" style="68" bestFit="1" customWidth="1"/>
    <col min="4" max="4" width="17.08984375" bestFit="1" customWidth="1"/>
    <col min="5" max="5" width="10.26953125" customWidth="1"/>
  </cols>
  <sheetData>
    <row r="1" spans="1:17">
      <c r="A1" s="53" t="s">
        <v>93</v>
      </c>
      <c r="B1" s="54" t="s">
        <v>108</v>
      </c>
      <c r="C1" s="54" t="s">
        <v>109</v>
      </c>
      <c r="D1" s="54" t="s">
        <v>96</v>
      </c>
      <c r="E1" s="54" t="s">
        <v>110</v>
      </c>
      <c r="F1" s="54" t="s">
        <v>111</v>
      </c>
      <c r="G1" s="54" t="s">
        <v>98</v>
      </c>
      <c r="H1" s="54" t="s">
        <v>99</v>
      </c>
      <c r="I1" s="54" t="s">
        <v>100</v>
      </c>
      <c r="J1" s="54" t="s">
        <v>63</v>
      </c>
      <c r="K1" s="54" t="s">
        <v>112</v>
      </c>
      <c r="L1" s="54" t="s">
        <v>102</v>
      </c>
      <c r="M1" s="54" t="s">
        <v>103</v>
      </c>
      <c r="N1" s="54" t="s">
        <v>104</v>
      </c>
      <c r="O1" s="54" t="s">
        <v>105</v>
      </c>
      <c r="P1" s="54" t="s">
        <v>106</v>
      </c>
      <c r="Q1" s="55" t="s">
        <v>107</v>
      </c>
    </row>
    <row r="2" spans="1:17">
      <c r="A2" s="56">
        <f>+'Ejercicio 1'!A5</f>
        <v>45567</v>
      </c>
      <c r="B2" s="54" t="s">
        <v>118</v>
      </c>
      <c r="C2" s="61" t="s">
        <v>146</v>
      </c>
      <c r="D2" s="54" t="s">
        <v>119</v>
      </c>
      <c r="E2" s="69">
        <v>0</v>
      </c>
      <c r="F2" s="63">
        <f>+'Ejercicio 1'!H5</f>
        <v>7470</v>
      </c>
      <c r="G2" s="63">
        <f>+'registro contable'!E13</f>
        <v>1120.5</v>
      </c>
      <c r="H2" s="63">
        <f>+Tabla35[[#This Row],[Base Imposible USD 15%2]]+Tabla35[[#This Row],[Valor IVA]]</f>
        <v>8590.5</v>
      </c>
      <c r="I2" s="63">
        <f>+'registro contable'!F15</f>
        <v>130.72500000000002</v>
      </c>
      <c r="J2" s="63">
        <f>+'registro contable'!F16</f>
        <v>336.15</v>
      </c>
      <c r="K2" s="63">
        <v>0</v>
      </c>
      <c r="L2" s="63">
        <f>+Tabla35[[#This Row],[Total Facturado USD]]-Tabla35[[#This Row],[Retención en la Fuente 1.75%]]-Tabla35[[#This Row],[Retención del IVA 30%]]</f>
        <v>8123.625</v>
      </c>
      <c r="M2" s="57">
        <v>45598</v>
      </c>
      <c r="N2" s="58">
        <f ca="1">IF(TODAY()&gt;Tabla35[[#This Row],[Fecha de vencimiento]],TODAY()-Tabla35[[#This Row],[Fecha de vencimiento]],0)</f>
        <v>0</v>
      </c>
      <c r="O2" s="54"/>
      <c r="P2" s="54">
        <v>0</v>
      </c>
      <c r="Q2" s="65">
        <f>+Tabla35[[#This Row],[Valor Crédito USD]]-Tabla35[[#This Row],[Fecha Abono 1]]</f>
        <v>8123.625</v>
      </c>
    </row>
    <row r="3" spans="1:17">
      <c r="A3" s="56">
        <f>+'Ejercicio 1'!A6</f>
        <v>45570</v>
      </c>
      <c r="B3" s="54" t="s">
        <v>118</v>
      </c>
      <c r="C3" s="61" t="s">
        <v>146</v>
      </c>
      <c r="D3" s="54" t="s">
        <v>120</v>
      </c>
      <c r="E3" s="71" t="s">
        <v>122</v>
      </c>
      <c r="F3" s="62">
        <f>+'Ejercicio 1'!H6</f>
        <v>1120.5</v>
      </c>
      <c r="G3" s="62">
        <f>+'registro contable'!F24</f>
        <v>168.07499999999999</v>
      </c>
      <c r="H3" s="62">
        <f>+Tabla35[[#Totals],[Base Imposible USD 15%2]]+Tabla35[[#Totals],[Valor IVA]]</f>
        <v>1288.575</v>
      </c>
      <c r="I3" s="62" t="s">
        <v>121</v>
      </c>
      <c r="J3" s="62" t="s">
        <v>121</v>
      </c>
      <c r="K3" s="62" t="s">
        <v>121</v>
      </c>
      <c r="L3" s="62">
        <f>+Tabla35[[#Totals],[Total Facturado USD]]</f>
        <v>1288.575</v>
      </c>
      <c r="M3" s="54"/>
      <c r="N3" s="58"/>
      <c r="O3" s="54"/>
      <c r="P3" s="54"/>
      <c r="Q3" s="70">
        <f>+Tabla35[[#Totals],[Valor Crédito USD]]</f>
        <v>1288.575</v>
      </c>
    </row>
    <row r="4" spans="1:17">
      <c r="D4" t="s">
        <v>117</v>
      </c>
      <c r="E4" s="67"/>
      <c r="F4" s="67" cm="1">
        <f t="array" ref="F4">+Tabla35[Base Imposible USD 15%2]-Tabla35[[#Totals],[Base Imposible USD 15%2]]</f>
        <v>6349.5</v>
      </c>
      <c r="G4" s="67" cm="1">
        <f t="array" ref="G4">+Tabla35[Valor IVA]-Tabla35[[#Totals],[Valor IVA]]</f>
        <v>952.42499999999995</v>
      </c>
      <c r="H4" s="67" cm="1">
        <f t="array" ref="H4">+Tabla35[Total Facturado USD]-Tabla35[[#Totals],[Total Facturado USD]]</f>
        <v>7301.9250000000002</v>
      </c>
      <c r="I4" s="67" cm="1">
        <f t="array" ref="I4">+Tabla35[Retención en la Fuente 1.75%]-Tabla35[[#Totals],[Retención en la Fuente 1.75%]]</f>
        <v>130.72500000000002</v>
      </c>
      <c r="J4" s="67" cm="1">
        <f t="array" ref="J4">+Tabla35[Retención del IVA 30%]-Tabla35[[#Totals],[Retención del IVA 30%]]</f>
        <v>336.15</v>
      </c>
      <c r="K4" s="67" cm="1">
        <f t="array" ref="K4">+Tabla35[Valor Pagado en efectivo]-Tabla35[[#Totals],[Valor Pagado en efectivo]]</f>
        <v>0</v>
      </c>
      <c r="L4" s="67" cm="1">
        <f t="array" ref="L4">+Tabla35[Valor Crédito USD]-Tabla35[[#Totals],[Valor Crédito USD]]</f>
        <v>6835.05</v>
      </c>
      <c r="Q4" s="67" cm="1">
        <f t="array" ref="Q4">+Tabla35[Saldo]-Tabla35[[#Totals],[Saldo]]</f>
        <v>6835.05</v>
      </c>
    </row>
    <row r="10" spans="1:17">
      <c r="E10" s="100"/>
    </row>
    <row r="12" spans="1:17">
      <c r="E12" s="100"/>
    </row>
    <row r="13" spans="1:17">
      <c r="E13" s="100"/>
    </row>
  </sheetData>
  <conditionalFormatting sqref="N2">
    <cfRule type="cellIs" dxfId="18" priority="1" operator="greaterThan">
      <formula>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3CC2-7668-4280-8844-6D71384AB576}">
  <dimension ref="A1:F30"/>
  <sheetViews>
    <sheetView tabSelected="1" topLeftCell="A10" workbookViewId="0">
      <selection activeCell="A11" sqref="A11:F11"/>
    </sheetView>
  </sheetViews>
  <sheetFormatPr baseColWidth="10" defaultRowHeight="14.5"/>
  <cols>
    <col min="1" max="1" width="20.26953125" style="72" bestFit="1" customWidth="1"/>
    <col min="2" max="2" width="10.90625" style="72"/>
    <col min="3" max="3" width="29.26953125" style="72" bestFit="1" customWidth="1"/>
    <col min="4" max="5" width="10.90625" style="72"/>
    <col min="6" max="6" width="63.26953125" style="72" bestFit="1" customWidth="1"/>
    <col min="7" max="16384" width="10.90625" style="72"/>
  </cols>
  <sheetData>
    <row r="1" spans="1:6">
      <c r="A1" s="95" t="s">
        <v>123</v>
      </c>
      <c r="B1" s="95"/>
      <c r="C1" s="95"/>
      <c r="D1" s="95"/>
      <c r="E1" s="95"/>
      <c r="F1" s="95"/>
    </row>
    <row r="2" spans="1:6">
      <c r="A2" s="82"/>
      <c r="B2" s="82"/>
      <c r="C2" s="82"/>
      <c r="D2" s="82"/>
      <c r="E2" s="82"/>
      <c r="F2" s="82"/>
    </row>
    <row r="3" spans="1:6">
      <c r="A3" s="99" t="s">
        <v>124</v>
      </c>
      <c r="B3" s="99"/>
      <c r="C3" s="99"/>
      <c r="D3" s="99"/>
      <c r="E3" s="99"/>
      <c r="F3" s="99"/>
    </row>
    <row r="4" spans="1:6">
      <c r="A4" s="96" t="s">
        <v>129</v>
      </c>
      <c r="B4" s="96"/>
      <c r="C4" s="96" t="s">
        <v>130</v>
      </c>
      <c r="D4" s="96"/>
      <c r="E4" s="74" t="s">
        <v>132</v>
      </c>
      <c r="F4" s="73" t="s">
        <v>133</v>
      </c>
    </row>
    <row r="5" spans="1:6">
      <c r="A5" s="75" t="s">
        <v>36</v>
      </c>
      <c r="B5" s="76">
        <f>+'registro contable'!F29</f>
        <v>9108.6</v>
      </c>
      <c r="C5" s="75" t="s">
        <v>125</v>
      </c>
      <c r="D5" s="77">
        <f>+'Auxiliar de ventas'!E2</f>
        <v>8379.9120000000003</v>
      </c>
      <c r="E5" s="76">
        <f>+B5-D5</f>
        <v>728.6880000000001</v>
      </c>
      <c r="F5" s="78" t="s">
        <v>134</v>
      </c>
    </row>
    <row r="6" spans="1:6" ht="43.5">
      <c r="A6" s="75" t="s">
        <v>90</v>
      </c>
      <c r="B6" s="76">
        <f>+kardex!H10</f>
        <v>7590.454545454545</v>
      </c>
      <c r="C6" s="75" t="s">
        <v>126</v>
      </c>
      <c r="D6" s="77">
        <f>+B6</f>
        <v>7590.454545454545</v>
      </c>
      <c r="E6" s="76">
        <f>+B6-D6</f>
        <v>0</v>
      </c>
      <c r="F6" s="79" t="s">
        <v>136</v>
      </c>
    </row>
    <row r="7" spans="1:6">
      <c r="A7" s="75" t="s">
        <v>91</v>
      </c>
      <c r="B7" s="76">
        <f>+B5-B6</f>
        <v>1518.1454545454553</v>
      </c>
      <c r="C7" s="75" t="s">
        <v>127</v>
      </c>
      <c r="D7" s="76">
        <f>+D5-D6</f>
        <v>789.45745454545522</v>
      </c>
      <c r="E7" s="76">
        <f>+B7-D7</f>
        <v>728.6880000000001</v>
      </c>
      <c r="F7" s="78" t="s">
        <v>135</v>
      </c>
    </row>
    <row r="9" spans="1:6" ht="26.5" customHeight="1">
      <c r="A9" s="72" t="s">
        <v>128</v>
      </c>
      <c r="C9" s="72" t="s">
        <v>131</v>
      </c>
      <c r="D9" s="80">
        <f>+B7-D7</f>
        <v>728.6880000000001</v>
      </c>
      <c r="E9" s="81">
        <f>+D9/B7</f>
        <v>0.47998562839828479</v>
      </c>
    </row>
    <row r="11" spans="1:6" ht="62" customHeight="1">
      <c r="A11" s="97" t="s">
        <v>137</v>
      </c>
      <c r="B11" s="97"/>
      <c r="C11" s="97"/>
      <c r="D11" s="97"/>
      <c r="E11" s="97"/>
      <c r="F11" s="97"/>
    </row>
    <row r="13" spans="1:6">
      <c r="B13" s="80"/>
    </row>
    <row r="14" spans="1:6">
      <c r="A14" s="99" t="s">
        <v>138</v>
      </c>
      <c r="B14" s="99"/>
      <c r="C14" s="99"/>
      <c r="D14" s="99"/>
      <c r="E14" s="99"/>
      <c r="F14" s="99"/>
    </row>
    <row r="15" spans="1:6">
      <c r="A15" s="96" t="s">
        <v>129</v>
      </c>
      <c r="B15" s="96"/>
      <c r="C15" s="96" t="s">
        <v>130</v>
      </c>
      <c r="D15" s="96"/>
      <c r="E15" s="74" t="s">
        <v>132</v>
      </c>
      <c r="F15" s="73" t="s">
        <v>133</v>
      </c>
    </row>
    <row r="16" spans="1:6">
      <c r="A16" s="75" t="s">
        <v>36</v>
      </c>
      <c r="B16" s="76">
        <f>+D5</f>
        <v>8379.9120000000003</v>
      </c>
      <c r="C16" s="75" t="s">
        <v>125</v>
      </c>
      <c r="D16" s="77">
        <f>+Tabla3[[#Totals],[Base Imposible USD]]</f>
        <v>6284.9340000000002</v>
      </c>
      <c r="E16" s="76">
        <f>+B16-D16</f>
        <v>2094.9780000000001</v>
      </c>
      <c r="F16" s="78" t="s">
        <v>139</v>
      </c>
    </row>
    <row r="17" spans="1:6">
      <c r="A17" s="75" t="s">
        <v>90</v>
      </c>
      <c r="B17" s="76">
        <f t="shared" ref="B17:B18" si="0">+D6</f>
        <v>7590.454545454545</v>
      </c>
      <c r="C17" s="75" t="s">
        <v>126</v>
      </c>
      <c r="D17" s="77">
        <f>+kardex!H10+kardex!H11</f>
        <v>5692.8409090909081</v>
      </c>
      <c r="E17" s="76">
        <f>+B17-D17</f>
        <v>1897.6136363636369</v>
      </c>
      <c r="F17" s="78" t="s">
        <v>139</v>
      </c>
    </row>
    <row r="18" spans="1:6" ht="29">
      <c r="A18" s="75" t="s">
        <v>91</v>
      </c>
      <c r="B18" s="76">
        <f t="shared" si="0"/>
        <v>789.45745454545522</v>
      </c>
      <c r="C18" s="75" t="s">
        <v>127</v>
      </c>
      <c r="D18" s="76">
        <f>+D16-D17</f>
        <v>592.0930909090921</v>
      </c>
      <c r="E18" s="76">
        <f>+B18-D18</f>
        <v>197.36436363636312</v>
      </c>
      <c r="F18" s="79" t="s">
        <v>140</v>
      </c>
    </row>
    <row r="20" spans="1:6">
      <c r="A20" s="72" t="s">
        <v>128</v>
      </c>
      <c r="C20" s="72" t="s">
        <v>131</v>
      </c>
      <c r="D20" s="80">
        <f>+B18-D18</f>
        <v>197.36436363636312</v>
      </c>
      <c r="E20" s="81">
        <f>+D20/B18</f>
        <v>0.24999999999999914</v>
      </c>
    </row>
    <row r="22" spans="1:6" ht="73.5" customHeight="1">
      <c r="A22" s="97" t="s">
        <v>141</v>
      </c>
      <c r="B22" s="97"/>
      <c r="C22" s="97"/>
      <c r="D22" s="97"/>
      <c r="E22" s="97"/>
      <c r="F22" s="97"/>
    </row>
    <row r="25" spans="1:6">
      <c r="A25" s="96" t="s">
        <v>142</v>
      </c>
      <c r="B25" s="96"/>
      <c r="C25" s="96"/>
      <c r="D25" s="96"/>
      <c r="E25" s="96"/>
      <c r="F25" s="96"/>
    </row>
    <row r="26" spans="1:6" ht="59.5" customHeight="1">
      <c r="A26" s="97" t="s">
        <v>143</v>
      </c>
      <c r="B26" s="98"/>
      <c r="C26" s="98"/>
      <c r="D26" s="98"/>
      <c r="E26" s="98"/>
      <c r="F26" s="98"/>
    </row>
    <row r="29" spans="1:6">
      <c r="A29" s="96" t="s">
        <v>144</v>
      </c>
      <c r="B29" s="96"/>
      <c r="C29" s="96"/>
      <c r="D29" s="96"/>
      <c r="E29" s="96"/>
      <c r="F29" s="96"/>
    </row>
    <row r="30" spans="1:6" ht="60" customHeight="1">
      <c r="A30" s="97" t="s">
        <v>145</v>
      </c>
      <c r="B30" s="98"/>
      <c r="C30" s="98"/>
      <c r="D30" s="98"/>
      <c r="E30" s="98"/>
      <c r="F30" s="98"/>
    </row>
  </sheetData>
  <mergeCells count="13">
    <mergeCell ref="A1:F1"/>
    <mergeCell ref="A29:F29"/>
    <mergeCell ref="A30:F30"/>
    <mergeCell ref="A3:F3"/>
    <mergeCell ref="A11:F11"/>
    <mergeCell ref="A14:F14"/>
    <mergeCell ref="A25:F25"/>
    <mergeCell ref="A26:F26"/>
    <mergeCell ref="A15:B15"/>
    <mergeCell ref="C15:D15"/>
    <mergeCell ref="A22:F22"/>
    <mergeCell ref="A4:B4"/>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Ejercicio 1</vt:lpstr>
      <vt:lpstr>kardex</vt:lpstr>
      <vt:lpstr>registro contable</vt:lpstr>
      <vt:lpstr>Auxiliar de ventas</vt:lpstr>
      <vt:lpstr>Auxiliar de compras</vt:lpstr>
      <vt:lpstr>Análisis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CINTYA LISBETH TELLO NUÑEZ</dc:creator>
  <cp:lastModifiedBy>CINTYA LISBETH TELLO NUÑEZ</cp:lastModifiedBy>
  <dcterms:created xsi:type="dcterms:W3CDTF">2024-10-14T04:18:44Z</dcterms:created>
  <dcterms:modified xsi:type="dcterms:W3CDTF">2024-10-26T21:51:38Z</dcterms:modified>
</cp:coreProperties>
</file>