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ml.chartshapes+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ml.chartshapes+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ml.chartshapes+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0.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1.xml" ContentType="application/vnd.openxmlformats-officedocument.drawingml.chartshapes+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12.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13.xml" ContentType="application/vnd.openxmlformats-officedocument.drawingml.chartshapes+xml"/>
  <Override PartName="/xl/charts/chart18.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1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15.xml" ContentType="application/vnd.openxmlformats-officedocument.drawingml.chartshapes+xml"/>
  <Override PartName="/xl/charts/chart21.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1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17.xml" ContentType="application/vnd.openxmlformats-officedocument.drawingml.chartshapes+xml"/>
  <Override PartName="/xl/charts/chart24.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18.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19.xml" ContentType="application/vnd.openxmlformats-officedocument.drawingml.chartshapes+xml"/>
  <Override PartName="/xl/charts/chart27.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20.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21.xml" ContentType="application/vnd.openxmlformats-officedocument.drawingml.chartshapes+xml"/>
  <Override PartName="/xl/charts/chart3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22.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23.xml" ContentType="application/vnd.openxmlformats-officedocument.drawingml.chartshapes+xml"/>
  <Override PartName="/xl/charts/chart33.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24.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25.xml" ContentType="application/vnd.openxmlformats-officedocument.drawingml.chartshapes+xml"/>
  <Override PartName="/xl/charts/chart36.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26.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27.xml" ContentType="application/vnd.openxmlformats-officedocument.drawingml.chartshapes+xml"/>
  <Override PartName="/xl/charts/chart39.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28.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29.xml" ContentType="application/vnd.openxmlformats-officedocument.drawingml.chartshapes+xml"/>
  <Override PartName="/xl/charts/chart42.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3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31.xml" ContentType="application/vnd.openxmlformats-officedocument.drawingml.chartshapes+xml"/>
  <Override PartName="/xl/charts/chart45.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32.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33.xml" ContentType="application/vnd.openxmlformats-officedocument.drawingml.chartshapes+xml"/>
  <Override PartName="/xl/charts/chart48.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34.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35.xml" ContentType="application/vnd.openxmlformats-officedocument.drawingml.chartshapes+xml"/>
  <Override PartName="/xl/charts/chart51.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36.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37.xml" ContentType="application/vnd.openxmlformats-officedocument.drawingml.chartshapes+xml"/>
  <Override PartName="/xl/charts/chart54.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38.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39.xml" ContentType="application/vnd.openxmlformats-officedocument.drawingml.chartshapes+xml"/>
  <Override PartName="/xl/charts/chart57.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40.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charts/style39.xml" ContentType="application/vnd.ms-office.chartstyle+xml"/>
  <Override PartName="/xl/charts/colors39.xml" ContentType="application/vnd.ms-office.chartcolorstyle+xml"/>
  <Override PartName="/xl/drawings/drawing41.xml" ContentType="application/vnd.openxmlformats-officedocument.drawingml.chartshapes+xml"/>
  <Override PartName="/xl/charts/chart6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42.xml" ContentType="application/vnd.openxmlformats-officedocument.drawing+xml"/>
  <Override PartName="/xl/charts/chart6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C:\Users\USUARIO\Desktop\"/>
    </mc:Choice>
  </mc:AlternateContent>
  <xr:revisionPtr revIDLastSave="0" documentId="8_{851170BB-B1DA-4DDC-A8C1-E0146351DE3E}" xr6:coauthVersionLast="44" xr6:coauthVersionMax="44" xr10:uidLastSave="{00000000-0000-0000-0000-000000000000}"/>
  <bookViews>
    <workbookView xWindow="-120" yWindow="-120" windowWidth="20730" windowHeight="11160" tabRatio="737" activeTab="1" xr2:uid="{00000000-000D-0000-FFFF-FFFF00000000}"/>
  </bookViews>
  <sheets>
    <sheet name="Info" sheetId="65" r:id="rId1"/>
    <sheet name="1" sheetId="86" r:id="rId2"/>
    <sheet name="2" sheetId="127" r:id="rId3"/>
    <sheet name="3" sheetId="128" r:id="rId4"/>
    <sheet name="4" sheetId="134" r:id="rId5"/>
    <sheet name="5" sheetId="135" r:id="rId6"/>
    <sheet name="6" sheetId="142" r:id="rId7"/>
    <sheet name="7" sheetId="143" r:id="rId8"/>
    <sheet name="8" sheetId="144" r:id="rId9"/>
    <sheet name="9" sheetId="145" r:id="rId10"/>
    <sheet name="10" sheetId="146" r:id="rId11"/>
    <sheet name="11" sheetId="147" r:id="rId12"/>
    <sheet name="12" sheetId="148" r:id="rId13"/>
    <sheet name="13" sheetId="149" r:id="rId14"/>
    <sheet name="14" sheetId="150" r:id="rId15"/>
    <sheet name="15" sheetId="151" r:id="rId16"/>
    <sheet name="16" sheetId="136" r:id="rId17"/>
    <sheet name="17" sheetId="137" r:id="rId18"/>
    <sheet name="18" sheetId="138" r:id="rId19"/>
    <sheet name="19" sheetId="139" r:id="rId20"/>
    <sheet name="20" sheetId="140" r:id="rId21"/>
    <sheet name="Calculation TEM-ETM" sheetId="16" r:id="rId22"/>
    <sheet name="TEM-ICC ETM-ICC" sheetId="20" r:id="rId23"/>
    <sheet name="Analysis" sheetId="67" r:id="rId24"/>
  </sheets>
  <definedNames>
    <definedName name="_xlnm.Print_Area" localSheetId="1">'1'!$M$1:$S$65</definedName>
    <definedName name="_xlnm.Print_Area" localSheetId="10">'10'!$M$1:$S$65</definedName>
    <definedName name="_xlnm.Print_Area" localSheetId="11">'11'!$M$1:$S$65</definedName>
    <definedName name="_xlnm.Print_Area" localSheetId="12">'12'!$M$1:$S$65</definedName>
    <definedName name="_xlnm.Print_Area" localSheetId="13">'13'!$M$1:$S$65</definedName>
    <definedName name="_xlnm.Print_Area" localSheetId="14">'14'!$M$1:$S$65</definedName>
    <definedName name="_xlnm.Print_Area" localSheetId="15">'15'!$M$1:$S$65</definedName>
    <definedName name="_xlnm.Print_Area" localSheetId="16">'16'!$M$1:$S$65</definedName>
    <definedName name="_xlnm.Print_Area" localSheetId="17">'17'!$M$1:$S$65</definedName>
    <definedName name="_xlnm.Print_Area" localSheetId="18">'18'!$M$1:$S$65</definedName>
    <definedName name="_xlnm.Print_Area" localSheetId="19">'19'!$M$1:$S$65</definedName>
    <definedName name="_xlnm.Print_Area" localSheetId="2">'2'!$M$1:$S$65</definedName>
    <definedName name="_xlnm.Print_Area" localSheetId="20">'20'!$M$1:$S$65</definedName>
    <definedName name="_xlnm.Print_Area" localSheetId="3">'3'!$M$1:$S$65</definedName>
    <definedName name="_xlnm.Print_Area" localSheetId="4">'4'!$M$1:$S$65</definedName>
    <definedName name="_xlnm.Print_Area" localSheetId="5">'5'!$M$1:$S$65</definedName>
    <definedName name="_xlnm.Print_Area" localSheetId="6">'6'!$M$1:$S$65</definedName>
    <definedName name="_xlnm.Print_Area" localSheetId="7">'7'!$M$1:$S$65</definedName>
    <definedName name="_xlnm.Print_Area" localSheetId="8">'8'!$M$1:$S$65</definedName>
    <definedName name="_xlnm.Print_Area" localSheetId="9">'9'!$M$1:$S$65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ET_WF"/>
      </xcalcf:calcFeatures>
    </ext>
  </extLst>
</workbook>
</file>

<file path=xl/calcChain.xml><?xml version="1.0" encoding="utf-8"?>
<calcChain xmlns="http://schemas.openxmlformats.org/spreadsheetml/2006/main">
  <c r="K18" i="144" l="1"/>
  <c r="O18" i="144"/>
  <c r="K19" i="144"/>
  <c r="O19" i="144"/>
  <c r="K22" i="144"/>
  <c r="O22" i="144"/>
  <c r="K15" i="144"/>
  <c r="O15" i="144"/>
  <c r="O40" i="144"/>
  <c r="K14" i="144"/>
  <c r="O14" i="144"/>
  <c r="O42" i="144"/>
  <c r="K15" i="140"/>
  <c r="O15" i="140"/>
  <c r="K14" i="140"/>
  <c r="O14" i="140"/>
  <c r="O42" i="140"/>
  <c r="K18" i="140"/>
  <c r="O18" i="140"/>
  <c r="K19" i="140"/>
  <c r="O19" i="140"/>
  <c r="K22" i="140"/>
  <c r="O22" i="140"/>
  <c r="O40" i="140"/>
  <c r="O43" i="140"/>
  <c r="K15" i="148"/>
  <c r="O15" i="148"/>
  <c r="K14" i="148"/>
  <c r="O14" i="148"/>
  <c r="O42" i="148"/>
  <c r="K18" i="148"/>
  <c r="O18" i="148"/>
  <c r="K19" i="148"/>
  <c r="O19" i="148"/>
  <c r="K22" i="148"/>
  <c r="O22" i="148"/>
  <c r="O40" i="148"/>
  <c r="O43" i="148"/>
  <c r="K18" i="127"/>
  <c r="O18" i="127"/>
  <c r="K19" i="127"/>
  <c r="O19" i="127"/>
  <c r="K22" i="127"/>
  <c r="O22" i="127"/>
  <c r="K15" i="127"/>
  <c r="O15" i="127"/>
  <c r="O40" i="127"/>
  <c r="K14" i="127"/>
  <c r="O14" i="127"/>
  <c r="O42" i="127"/>
  <c r="O43" i="127"/>
  <c r="K18" i="128"/>
  <c r="O18" i="128"/>
  <c r="K19" i="128"/>
  <c r="O19" i="128"/>
  <c r="K22" i="128"/>
  <c r="O22" i="128"/>
  <c r="K15" i="128"/>
  <c r="O15" i="128"/>
  <c r="O40" i="128"/>
  <c r="K14" i="128"/>
  <c r="O14" i="128"/>
  <c r="O42" i="128"/>
  <c r="O43" i="128"/>
  <c r="K15" i="134"/>
  <c r="O15" i="134"/>
  <c r="K14" i="134"/>
  <c r="O14" i="134"/>
  <c r="O42" i="134"/>
  <c r="K18" i="134"/>
  <c r="O18" i="134"/>
  <c r="K19" i="134"/>
  <c r="O19" i="134"/>
  <c r="K22" i="134"/>
  <c r="O22" i="134"/>
  <c r="O40" i="134"/>
  <c r="O43" i="134"/>
  <c r="K15" i="135"/>
  <c r="O15" i="135"/>
  <c r="K14" i="135"/>
  <c r="O14" i="135"/>
  <c r="O42" i="135"/>
  <c r="K18" i="135"/>
  <c r="O18" i="135"/>
  <c r="K19" i="135"/>
  <c r="O19" i="135"/>
  <c r="K22" i="135"/>
  <c r="O22" i="135"/>
  <c r="O40" i="135"/>
  <c r="O43" i="135"/>
  <c r="K15" i="142"/>
  <c r="O15" i="142"/>
  <c r="K14" i="142"/>
  <c r="O14" i="142"/>
  <c r="O42" i="142"/>
  <c r="K18" i="142"/>
  <c r="O18" i="142"/>
  <c r="K19" i="142"/>
  <c r="O19" i="142"/>
  <c r="K22" i="142"/>
  <c r="O22" i="142"/>
  <c r="O40" i="142"/>
  <c r="O43" i="142"/>
  <c r="K15" i="143"/>
  <c r="O15" i="143"/>
  <c r="K14" i="143"/>
  <c r="O14" i="143"/>
  <c r="O42" i="143"/>
  <c r="K18" i="143"/>
  <c r="O18" i="143"/>
  <c r="K19" i="143"/>
  <c r="O19" i="143"/>
  <c r="K22" i="143"/>
  <c r="O22" i="143"/>
  <c r="O40" i="143"/>
  <c r="O43" i="143"/>
  <c r="O43" i="144"/>
  <c r="K15" i="145"/>
  <c r="O15" i="145"/>
  <c r="K14" i="145"/>
  <c r="O14" i="145"/>
  <c r="O42" i="145"/>
  <c r="K18" i="145"/>
  <c r="O18" i="145"/>
  <c r="K19" i="145"/>
  <c r="O19" i="145"/>
  <c r="K22" i="145"/>
  <c r="O22" i="145"/>
  <c r="O40" i="145"/>
  <c r="O43" i="145"/>
  <c r="K15" i="146"/>
  <c r="O15" i="146"/>
  <c r="K14" i="146"/>
  <c r="O14" i="146"/>
  <c r="O42" i="146"/>
  <c r="K18" i="146"/>
  <c r="O18" i="146"/>
  <c r="K19" i="146"/>
  <c r="O19" i="146"/>
  <c r="K22" i="146"/>
  <c r="O22" i="146"/>
  <c r="O40" i="146"/>
  <c r="O43" i="146"/>
  <c r="K15" i="147"/>
  <c r="O15" i="147"/>
  <c r="K14" i="147"/>
  <c r="O14" i="147"/>
  <c r="O42" i="147"/>
  <c r="K18" i="147"/>
  <c r="O18" i="147"/>
  <c r="K19" i="147"/>
  <c r="O19" i="147"/>
  <c r="K22" i="147"/>
  <c r="O22" i="147"/>
  <c r="O40" i="147"/>
  <c r="O43" i="147"/>
  <c r="K15" i="149"/>
  <c r="O15" i="149"/>
  <c r="K14" i="149"/>
  <c r="O14" i="149"/>
  <c r="O42" i="149"/>
  <c r="K18" i="149"/>
  <c r="O18" i="149"/>
  <c r="K19" i="149"/>
  <c r="O19" i="149"/>
  <c r="K22" i="149"/>
  <c r="O22" i="149"/>
  <c r="O40" i="149"/>
  <c r="O43" i="149"/>
  <c r="K15" i="150"/>
  <c r="O15" i="150"/>
  <c r="K14" i="150"/>
  <c r="O14" i="150"/>
  <c r="O42" i="150"/>
  <c r="K18" i="150"/>
  <c r="O18" i="150"/>
  <c r="K19" i="150"/>
  <c r="O19" i="150"/>
  <c r="K22" i="150"/>
  <c r="O22" i="150"/>
  <c r="O40" i="150"/>
  <c r="O43" i="150"/>
  <c r="K15" i="151"/>
  <c r="O15" i="151"/>
  <c r="K14" i="151"/>
  <c r="O14" i="151"/>
  <c r="O42" i="151"/>
  <c r="K18" i="151"/>
  <c r="O18" i="151"/>
  <c r="K19" i="151"/>
  <c r="O19" i="151"/>
  <c r="K22" i="151"/>
  <c r="O22" i="151"/>
  <c r="O40" i="151"/>
  <c r="O43" i="151"/>
  <c r="K15" i="136"/>
  <c r="O15" i="136"/>
  <c r="K14" i="136"/>
  <c r="O14" i="136"/>
  <c r="O42" i="136"/>
  <c r="K18" i="136"/>
  <c r="O18" i="136"/>
  <c r="K19" i="136"/>
  <c r="O19" i="136"/>
  <c r="K22" i="136"/>
  <c r="O22" i="136"/>
  <c r="O40" i="136"/>
  <c r="O43" i="136"/>
  <c r="K15" i="137"/>
  <c r="O15" i="137"/>
  <c r="K14" i="137"/>
  <c r="O14" i="137"/>
  <c r="O42" i="137"/>
  <c r="K18" i="137"/>
  <c r="O18" i="137"/>
  <c r="K19" i="137"/>
  <c r="O19" i="137"/>
  <c r="K22" i="137"/>
  <c r="O22" i="137"/>
  <c r="O40" i="137"/>
  <c r="O43" i="137"/>
  <c r="K15" i="138"/>
  <c r="O15" i="138"/>
  <c r="K14" i="138"/>
  <c r="O14" i="138"/>
  <c r="O42" i="138"/>
  <c r="K18" i="138"/>
  <c r="O18" i="138"/>
  <c r="K19" i="138"/>
  <c r="O19" i="138"/>
  <c r="K22" i="138"/>
  <c r="O22" i="138"/>
  <c r="O40" i="138"/>
  <c r="O43" i="138"/>
  <c r="K15" i="139"/>
  <c r="O15" i="139"/>
  <c r="K14" i="139"/>
  <c r="O14" i="139"/>
  <c r="O42" i="139"/>
  <c r="K18" i="139"/>
  <c r="O18" i="139"/>
  <c r="K19" i="139"/>
  <c r="O19" i="139"/>
  <c r="K22" i="139"/>
  <c r="O22" i="139"/>
  <c r="O40" i="139"/>
  <c r="O43" i="139"/>
  <c r="K15" i="86"/>
  <c r="O15" i="86"/>
  <c r="K14" i="86"/>
  <c r="O14" i="86"/>
  <c r="O42" i="86"/>
  <c r="K18" i="86"/>
  <c r="O18" i="86"/>
  <c r="K19" i="86"/>
  <c r="O19" i="86"/>
  <c r="K22" i="86"/>
  <c r="O22" i="86"/>
  <c r="O40" i="86"/>
  <c r="O43" i="86"/>
  <c r="K23" i="86"/>
  <c r="O23" i="86"/>
  <c r="K24" i="86"/>
  <c r="O24" i="86"/>
  <c r="K25" i="86"/>
  <c r="O25" i="86"/>
  <c r="O54" i="86"/>
  <c r="O7" i="86"/>
  <c r="O63" i="86"/>
  <c r="E42" i="139"/>
  <c r="F42" i="139"/>
  <c r="G42" i="139"/>
  <c r="E43" i="139"/>
  <c r="F43" i="139"/>
  <c r="G43" i="139"/>
  <c r="E44" i="139"/>
  <c r="F44" i="139"/>
  <c r="G44" i="139"/>
  <c r="E45" i="139"/>
  <c r="F45" i="139"/>
  <c r="G45" i="139"/>
  <c r="E46" i="139"/>
  <c r="F46" i="139"/>
  <c r="G46" i="139"/>
  <c r="E47" i="139"/>
  <c r="F47" i="139"/>
  <c r="G47" i="139"/>
  <c r="E48" i="139"/>
  <c r="F48" i="139"/>
  <c r="G48" i="139"/>
  <c r="E49" i="139"/>
  <c r="F49" i="139"/>
  <c r="G49" i="139"/>
  <c r="D81" i="140"/>
  <c r="E81" i="140"/>
  <c r="F81" i="140"/>
  <c r="H81" i="140"/>
  <c r="AQ25" i="16"/>
  <c r="G81" i="140"/>
  <c r="AP25" i="16"/>
  <c r="D80" i="140"/>
  <c r="E80" i="140"/>
  <c r="F80" i="140"/>
  <c r="H80" i="140"/>
  <c r="AQ24" i="16"/>
  <c r="G80" i="140"/>
  <c r="AP24" i="16"/>
  <c r="D79" i="140"/>
  <c r="E79" i="140"/>
  <c r="F79" i="140"/>
  <c r="H79" i="140"/>
  <c r="AQ23" i="16"/>
  <c r="G79" i="140"/>
  <c r="AP23" i="16"/>
  <c r="D78" i="140"/>
  <c r="E78" i="140"/>
  <c r="F78" i="140"/>
  <c r="H78" i="140"/>
  <c r="AQ22" i="16"/>
  <c r="G78" i="140"/>
  <c r="AP22" i="16"/>
  <c r="D77" i="140"/>
  <c r="E77" i="140"/>
  <c r="F77" i="140"/>
  <c r="H77" i="140"/>
  <c r="AQ21" i="16"/>
  <c r="G77" i="140"/>
  <c r="AP21" i="16"/>
  <c r="D76" i="140"/>
  <c r="E76" i="140"/>
  <c r="F76" i="140"/>
  <c r="H76" i="140"/>
  <c r="AQ20" i="16"/>
  <c r="G76" i="140"/>
  <c r="AP20" i="16"/>
  <c r="D75" i="140"/>
  <c r="E75" i="140"/>
  <c r="F75" i="140"/>
  <c r="H75" i="140"/>
  <c r="AQ19" i="16"/>
  <c r="G75" i="140"/>
  <c r="AP19" i="16"/>
  <c r="D74" i="140"/>
  <c r="E74" i="140"/>
  <c r="F74" i="140"/>
  <c r="H74" i="140"/>
  <c r="AQ18" i="16"/>
  <c r="G74" i="140"/>
  <c r="AP18" i="16"/>
  <c r="D73" i="140"/>
  <c r="E73" i="140"/>
  <c r="F73" i="140"/>
  <c r="H73" i="140"/>
  <c r="AQ17" i="16"/>
  <c r="G73" i="140"/>
  <c r="AP17" i="16"/>
  <c r="D72" i="140"/>
  <c r="E72" i="140"/>
  <c r="F72" i="140"/>
  <c r="H72" i="140"/>
  <c r="AQ16" i="16"/>
  <c r="G72" i="140"/>
  <c r="AP16" i="16"/>
  <c r="D71" i="140"/>
  <c r="E71" i="140"/>
  <c r="F71" i="140"/>
  <c r="H71" i="140"/>
  <c r="AQ15" i="16"/>
  <c r="G71" i="140"/>
  <c r="AP15" i="16"/>
  <c r="D70" i="140"/>
  <c r="E70" i="140"/>
  <c r="F70" i="140"/>
  <c r="H70" i="140"/>
  <c r="AQ14" i="16"/>
  <c r="G70" i="140"/>
  <c r="AP14" i="16"/>
  <c r="D69" i="140"/>
  <c r="E69" i="140"/>
  <c r="F69" i="140"/>
  <c r="H69" i="140"/>
  <c r="AQ13" i="16"/>
  <c r="G69" i="140"/>
  <c r="AP13" i="16"/>
  <c r="D68" i="140"/>
  <c r="E68" i="140"/>
  <c r="F68" i="140"/>
  <c r="H68" i="140"/>
  <c r="AQ12" i="16"/>
  <c r="G68" i="140"/>
  <c r="AP12" i="16"/>
  <c r="D67" i="140"/>
  <c r="E67" i="140"/>
  <c r="F67" i="140"/>
  <c r="H67" i="140"/>
  <c r="AQ11" i="16"/>
  <c r="G67" i="140"/>
  <c r="AP11" i="16"/>
  <c r="D66" i="140"/>
  <c r="E66" i="140"/>
  <c r="F66" i="140"/>
  <c r="H66" i="140"/>
  <c r="AQ10" i="16"/>
  <c r="G66" i="140"/>
  <c r="AP10" i="16"/>
  <c r="D65" i="140"/>
  <c r="E65" i="140"/>
  <c r="F65" i="140"/>
  <c r="H65" i="140"/>
  <c r="AQ9" i="16"/>
  <c r="G65" i="140"/>
  <c r="AP9" i="16"/>
  <c r="D64" i="140"/>
  <c r="E64" i="140"/>
  <c r="F64" i="140"/>
  <c r="H64" i="140"/>
  <c r="AQ8" i="16"/>
  <c r="G64" i="140"/>
  <c r="AP8" i="16"/>
  <c r="D63" i="140"/>
  <c r="E63" i="140"/>
  <c r="F63" i="140"/>
  <c r="H63" i="140"/>
  <c r="AQ7" i="16"/>
  <c r="G63" i="140"/>
  <c r="AP7" i="16"/>
  <c r="D62" i="140"/>
  <c r="E62" i="140"/>
  <c r="F62" i="140"/>
  <c r="H62" i="140"/>
  <c r="AQ6" i="16"/>
  <c r="G62" i="140"/>
  <c r="AP6" i="16"/>
  <c r="D61" i="140"/>
  <c r="E61" i="140"/>
  <c r="F61" i="140"/>
  <c r="H61" i="140"/>
  <c r="AQ5" i="16"/>
  <c r="G61" i="140"/>
  <c r="AP5" i="16"/>
  <c r="D81" i="139"/>
  <c r="E81" i="139"/>
  <c r="F81" i="139"/>
  <c r="H81" i="139"/>
  <c r="AO25" i="16"/>
  <c r="G81" i="139"/>
  <c r="AN25" i="16"/>
  <c r="D80" i="139"/>
  <c r="E80" i="139"/>
  <c r="F80" i="139"/>
  <c r="H80" i="139"/>
  <c r="AO24" i="16"/>
  <c r="G80" i="139"/>
  <c r="AN24" i="16"/>
  <c r="D79" i="139"/>
  <c r="E79" i="139"/>
  <c r="F79" i="139"/>
  <c r="H79" i="139"/>
  <c r="AO23" i="16"/>
  <c r="G79" i="139"/>
  <c r="AN23" i="16"/>
  <c r="D78" i="139"/>
  <c r="E78" i="139"/>
  <c r="F78" i="139"/>
  <c r="H78" i="139"/>
  <c r="AO22" i="16"/>
  <c r="G78" i="139"/>
  <c r="AN22" i="16"/>
  <c r="D77" i="139"/>
  <c r="E77" i="139"/>
  <c r="F77" i="139"/>
  <c r="H77" i="139"/>
  <c r="AO21" i="16"/>
  <c r="G77" i="139"/>
  <c r="AN21" i="16"/>
  <c r="D76" i="139"/>
  <c r="E76" i="139"/>
  <c r="F76" i="139"/>
  <c r="H76" i="139"/>
  <c r="AO20" i="16"/>
  <c r="G76" i="139"/>
  <c r="AN20" i="16"/>
  <c r="D75" i="139"/>
  <c r="E75" i="139"/>
  <c r="F75" i="139"/>
  <c r="H75" i="139"/>
  <c r="AO19" i="16"/>
  <c r="G75" i="139"/>
  <c r="AN19" i="16"/>
  <c r="D74" i="139"/>
  <c r="E74" i="139"/>
  <c r="F74" i="139"/>
  <c r="H74" i="139"/>
  <c r="AO18" i="16"/>
  <c r="G74" i="139"/>
  <c r="AN18" i="16"/>
  <c r="D73" i="139"/>
  <c r="E73" i="139"/>
  <c r="F73" i="139"/>
  <c r="H73" i="139"/>
  <c r="AO17" i="16"/>
  <c r="G73" i="139"/>
  <c r="AN17" i="16"/>
  <c r="D72" i="139"/>
  <c r="E72" i="139"/>
  <c r="F72" i="139"/>
  <c r="H72" i="139"/>
  <c r="AO16" i="16"/>
  <c r="G72" i="139"/>
  <c r="AN16" i="16"/>
  <c r="D71" i="139"/>
  <c r="E71" i="139"/>
  <c r="F71" i="139"/>
  <c r="H71" i="139"/>
  <c r="AO15" i="16"/>
  <c r="G71" i="139"/>
  <c r="AN15" i="16"/>
  <c r="D70" i="139"/>
  <c r="E70" i="139"/>
  <c r="F70" i="139"/>
  <c r="H70" i="139"/>
  <c r="AO14" i="16"/>
  <c r="G70" i="139"/>
  <c r="AN14" i="16"/>
  <c r="D69" i="139"/>
  <c r="E69" i="139"/>
  <c r="F69" i="139"/>
  <c r="H69" i="139"/>
  <c r="AO13" i="16"/>
  <c r="G69" i="139"/>
  <c r="AN13" i="16"/>
  <c r="D68" i="139"/>
  <c r="E68" i="139"/>
  <c r="F68" i="139"/>
  <c r="H68" i="139"/>
  <c r="AO12" i="16"/>
  <c r="G68" i="139"/>
  <c r="AN12" i="16"/>
  <c r="D67" i="139"/>
  <c r="E67" i="139"/>
  <c r="F67" i="139"/>
  <c r="H67" i="139"/>
  <c r="AO11" i="16"/>
  <c r="G67" i="139"/>
  <c r="AN11" i="16"/>
  <c r="D66" i="139"/>
  <c r="E66" i="139"/>
  <c r="F66" i="139"/>
  <c r="H66" i="139"/>
  <c r="AO10" i="16"/>
  <c r="G66" i="139"/>
  <c r="AN10" i="16"/>
  <c r="D65" i="139"/>
  <c r="E65" i="139"/>
  <c r="F65" i="139"/>
  <c r="H65" i="139"/>
  <c r="AO9" i="16"/>
  <c r="G65" i="139"/>
  <c r="AN9" i="16"/>
  <c r="D64" i="139"/>
  <c r="E64" i="139"/>
  <c r="F64" i="139"/>
  <c r="H64" i="139"/>
  <c r="AO8" i="16"/>
  <c r="G64" i="139"/>
  <c r="AN8" i="16"/>
  <c r="D63" i="139"/>
  <c r="E63" i="139"/>
  <c r="F63" i="139"/>
  <c r="H63" i="139"/>
  <c r="AO7" i="16"/>
  <c r="G63" i="139"/>
  <c r="AN7" i="16"/>
  <c r="D62" i="139"/>
  <c r="E62" i="139"/>
  <c r="F62" i="139"/>
  <c r="H62" i="139"/>
  <c r="AO6" i="16"/>
  <c r="G62" i="139"/>
  <c r="AN6" i="16"/>
  <c r="D61" i="139"/>
  <c r="E61" i="139"/>
  <c r="F61" i="139"/>
  <c r="H61" i="139"/>
  <c r="AO5" i="16"/>
  <c r="G61" i="139"/>
  <c r="AN5" i="16"/>
  <c r="D81" i="138"/>
  <c r="E81" i="138"/>
  <c r="F81" i="138"/>
  <c r="H81" i="138"/>
  <c r="AM25" i="16"/>
  <c r="G81" i="138"/>
  <c r="AL25" i="16"/>
  <c r="D80" i="138"/>
  <c r="E80" i="138"/>
  <c r="F80" i="138"/>
  <c r="H80" i="138"/>
  <c r="AM24" i="16"/>
  <c r="G80" i="138"/>
  <c r="AL24" i="16"/>
  <c r="D79" i="138"/>
  <c r="E79" i="138"/>
  <c r="F79" i="138"/>
  <c r="H79" i="138"/>
  <c r="AM23" i="16"/>
  <c r="G79" i="138"/>
  <c r="AL23" i="16"/>
  <c r="D78" i="138"/>
  <c r="E78" i="138"/>
  <c r="F78" i="138"/>
  <c r="H78" i="138"/>
  <c r="AM22" i="16"/>
  <c r="G78" i="138"/>
  <c r="AL22" i="16"/>
  <c r="D77" i="138"/>
  <c r="E77" i="138"/>
  <c r="F77" i="138"/>
  <c r="H77" i="138"/>
  <c r="AM21" i="16"/>
  <c r="G77" i="138"/>
  <c r="AL21" i="16"/>
  <c r="D76" i="138"/>
  <c r="E76" i="138"/>
  <c r="F76" i="138"/>
  <c r="H76" i="138"/>
  <c r="AM20" i="16"/>
  <c r="G76" i="138"/>
  <c r="AL20" i="16"/>
  <c r="D75" i="138"/>
  <c r="E75" i="138"/>
  <c r="F75" i="138"/>
  <c r="H75" i="138"/>
  <c r="AM19" i="16"/>
  <c r="G75" i="138"/>
  <c r="AL19" i="16"/>
  <c r="D74" i="138"/>
  <c r="E74" i="138"/>
  <c r="F74" i="138"/>
  <c r="H74" i="138"/>
  <c r="AM18" i="16"/>
  <c r="G74" i="138"/>
  <c r="AL18" i="16"/>
  <c r="D73" i="138"/>
  <c r="E73" i="138"/>
  <c r="F73" i="138"/>
  <c r="H73" i="138"/>
  <c r="AM17" i="16"/>
  <c r="G73" i="138"/>
  <c r="AL17" i="16"/>
  <c r="D72" i="138"/>
  <c r="E72" i="138"/>
  <c r="F72" i="138"/>
  <c r="H72" i="138"/>
  <c r="AM16" i="16"/>
  <c r="G72" i="138"/>
  <c r="AL16" i="16"/>
  <c r="D71" i="138"/>
  <c r="E71" i="138"/>
  <c r="F71" i="138"/>
  <c r="H71" i="138"/>
  <c r="AM15" i="16"/>
  <c r="G71" i="138"/>
  <c r="AL15" i="16"/>
  <c r="D70" i="138"/>
  <c r="E70" i="138"/>
  <c r="F70" i="138"/>
  <c r="H70" i="138"/>
  <c r="AM14" i="16"/>
  <c r="G70" i="138"/>
  <c r="AL14" i="16"/>
  <c r="D69" i="138"/>
  <c r="E69" i="138"/>
  <c r="F69" i="138"/>
  <c r="H69" i="138"/>
  <c r="AM13" i="16"/>
  <c r="G69" i="138"/>
  <c r="AL13" i="16"/>
  <c r="D68" i="138"/>
  <c r="E68" i="138"/>
  <c r="F68" i="138"/>
  <c r="H68" i="138"/>
  <c r="AM12" i="16"/>
  <c r="G68" i="138"/>
  <c r="AL12" i="16"/>
  <c r="D67" i="138"/>
  <c r="E67" i="138"/>
  <c r="F67" i="138"/>
  <c r="H67" i="138"/>
  <c r="AM11" i="16"/>
  <c r="G67" i="138"/>
  <c r="AL11" i="16"/>
  <c r="D66" i="138"/>
  <c r="E66" i="138"/>
  <c r="F66" i="138"/>
  <c r="H66" i="138"/>
  <c r="AM10" i="16"/>
  <c r="G66" i="138"/>
  <c r="AL10" i="16"/>
  <c r="D65" i="138"/>
  <c r="E65" i="138"/>
  <c r="F65" i="138"/>
  <c r="H65" i="138"/>
  <c r="AM9" i="16"/>
  <c r="G65" i="138"/>
  <c r="AL9" i="16"/>
  <c r="D64" i="138"/>
  <c r="E64" i="138"/>
  <c r="F64" i="138"/>
  <c r="H64" i="138"/>
  <c r="AM8" i="16"/>
  <c r="G64" i="138"/>
  <c r="AL8" i="16"/>
  <c r="D63" i="138"/>
  <c r="E63" i="138"/>
  <c r="F63" i="138"/>
  <c r="H63" i="138"/>
  <c r="AM7" i="16"/>
  <c r="G63" i="138"/>
  <c r="AL7" i="16"/>
  <c r="D62" i="138"/>
  <c r="E62" i="138"/>
  <c r="F62" i="138"/>
  <c r="H62" i="138"/>
  <c r="AM6" i="16"/>
  <c r="G62" i="138"/>
  <c r="AL6" i="16"/>
  <c r="D61" i="138"/>
  <c r="E61" i="138"/>
  <c r="F61" i="138"/>
  <c r="H61" i="138"/>
  <c r="AM5" i="16"/>
  <c r="G61" i="138"/>
  <c r="AL5" i="16"/>
  <c r="D81" i="137"/>
  <c r="E81" i="137"/>
  <c r="F81" i="137"/>
  <c r="H81" i="137"/>
  <c r="AK25" i="16"/>
  <c r="G81" i="137"/>
  <c r="AJ25" i="16"/>
  <c r="D80" i="137"/>
  <c r="E80" i="137"/>
  <c r="F80" i="137"/>
  <c r="H80" i="137"/>
  <c r="AK24" i="16"/>
  <c r="G80" i="137"/>
  <c r="AJ24" i="16"/>
  <c r="D79" i="137"/>
  <c r="E79" i="137"/>
  <c r="F79" i="137"/>
  <c r="H79" i="137"/>
  <c r="AK23" i="16"/>
  <c r="G79" i="137"/>
  <c r="AJ23" i="16"/>
  <c r="D78" i="137"/>
  <c r="E78" i="137"/>
  <c r="F78" i="137"/>
  <c r="H78" i="137"/>
  <c r="AK22" i="16"/>
  <c r="G78" i="137"/>
  <c r="AJ22" i="16"/>
  <c r="D77" i="137"/>
  <c r="E77" i="137"/>
  <c r="F77" i="137"/>
  <c r="H77" i="137"/>
  <c r="AK21" i="16"/>
  <c r="G77" i="137"/>
  <c r="AJ21" i="16"/>
  <c r="D76" i="137"/>
  <c r="E76" i="137"/>
  <c r="F76" i="137"/>
  <c r="H76" i="137"/>
  <c r="AK20" i="16"/>
  <c r="G76" i="137"/>
  <c r="AJ20" i="16"/>
  <c r="D75" i="137"/>
  <c r="E75" i="137"/>
  <c r="F75" i="137"/>
  <c r="H75" i="137"/>
  <c r="AK19" i="16"/>
  <c r="G75" i="137"/>
  <c r="AJ19" i="16"/>
  <c r="D74" i="137"/>
  <c r="E74" i="137"/>
  <c r="F74" i="137"/>
  <c r="H74" i="137"/>
  <c r="AK18" i="16"/>
  <c r="G74" i="137"/>
  <c r="AJ18" i="16"/>
  <c r="D73" i="137"/>
  <c r="E73" i="137"/>
  <c r="F73" i="137"/>
  <c r="H73" i="137"/>
  <c r="AK17" i="16"/>
  <c r="G73" i="137"/>
  <c r="AJ17" i="16"/>
  <c r="D72" i="137"/>
  <c r="E72" i="137"/>
  <c r="F72" i="137"/>
  <c r="H72" i="137"/>
  <c r="AK16" i="16"/>
  <c r="G72" i="137"/>
  <c r="AJ16" i="16"/>
  <c r="D71" i="137"/>
  <c r="E71" i="137"/>
  <c r="F71" i="137"/>
  <c r="H71" i="137"/>
  <c r="AK15" i="16"/>
  <c r="G71" i="137"/>
  <c r="AJ15" i="16"/>
  <c r="D70" i="137"/>
  <c r="E70" i="137"/>
  <c r="F70" i="137"/>
  <c r="H70" i="137"/>
  <c r="AK14" i="16"/>
  <c r="G70" i="137"/>
  <c r="AJ14" i="16"/>
  <c r="D69" i="137"/>
  <c r="E69" i="137"/>
  <c r="F69" i="137"/>
  <c r="H69" i="137"/>
  <c r="AK13" i="16"/>
  <c r="G69" i="137"/>
  <c r="AJ13" i="16"/>
  <c r="D68" i="137"/>
  <c r="E68" i="137"/>
  <c r="F68" i="137"/>
  <c r="H68" i="137"/>
  <c r="AK12" i="16"/>
  <c r="G68" i="137"/>
  <c r="AJ12" i="16"/>
  <c r="D67" i="137"/>
  <c r="E67" i="137"/>
  <c r="F67" i="137"/>
  <c r="H67" i="137"/>
  <c r="AK11" i="16"/>
  <c r="G67" i="137"/>
  <c r="AJ11" i="16"/>
  <c r="D66" i="137"/>
  <c r="E66" i="137"/>
  <c r="F66" i="137"/>
  <c r="H66" i="137"/>
  <c r="AK10" i="16"/>
  <c r="G66" i="137"/>
  <c r="AJ10" i="16"/>
  <c r="D65" i="137"/>
  <c r="E65" i="137"/>
  <c r="F65" i="137"/>
  <c r="H65" i="137"/>
  <c r="AK9" i="16"/>
  <c r="G65" i="137"/>
  <c r="AJ9" i="16"/>
  <c r="D64" i="137"/>
  <c r="E64" i="137"/>
  <c r="F64" i="137"/>
  <c r="H64" i="137"/>
  <c r="AK8" i="16"/>
  <c r="G64" i="137"/>
  <c r="AJ8" i="16"/>
  <c r="D63" i="137"/>
  <c r="E63" i="137"/>
  <c r="F63" i="137"/>
  <c r="H63" i="137"/>
  <c r="AK7" i="16"/>
  <c r="G63" i="137"/>
  <c r="AJ7" i="16"/>
  <c r="D62" i="137"/>
  <c r="E62" i="137"/>
  <c r="F62" i="137"/>
  <c r="H62" i="137"/>
  <c r="AK6" i="16"/>
  <c r="G62" i="137"/>
  <c r="AJ6" i="16"/>
  <c r="D61" i="137"/>
  <c r="E61" i="137"/>
  <c r="F61" i="137"/>
  <c r="H61" i="137"/>
  <c r="AK5" i="16"/>
  <c r="G61" i="137"/>
  <c r="AJ5" i="16"/>
  <c r="D81" i="136"/>
  <c r="E81" i="136"/>
  <c r="F81" i="136"/>
  <c r="H81" i="136"/>
  <c r="AI25" i="16"/>
  <c r="G81" i="136"/>
  <c r="AH25" i="16"/>
  <c r="D80" i="136"/>
  <c r="E80" i="136"/>
  <c r="F80" i="136"/>
  <c r="H80" i="136"/>
  <c r="AI24" i="16"/>
  <c r="G80" i="136"/>
  <c r="AH24" i="16"/>
  <c r="D79" i="136"/>
  <c r="E79" i="136"/>
  <c r="F79" i="136"/>
  <c r="H79" i="136"/>
  <c r="AI23" i="16"/>
  <c r="G79" i="136"/>
  <c r="AH23" i="16"/>
  <c r="D78" i="136"/>
  <c r="E78" i="136"/>
  <c r="F78" i="136"/>
  <c r="H78" i="136"/>
  <c r="AI22" i="16"/>
  <c r="G78" i="136"/>
  <c r="AH22" i="16"/>
  <c r="D77" i="136"/>
  <c r="E77" i="136"/>
  <c r="F77" i="136"/>
  <c r="H77" i="136"/>
  <c r="AI21" i="16"/>
  <c r="G77" i="136"/>
  <c r="AH21" i="16"/>
  <c r="D76" i="136"/>
  <c r="E76" i="136"/>
  <c r="F76" i="136"/>
  <c r="H76" i="136"/>
  <c r="AI20" i="16"/>
  <c r="G76" i="136"/>
  <c r="AH20" i="16"/>
  <c r="D75" i="136"/>
  <c r="E75" i="136"/>
  <c r="F75" i="136"/>
  <c r="H75" i="136"/>
  <c r="AI19" i="16"/>
  <c r="G75" i="136"/>
  <c r="AH19" i="16"/>
  <c r="D74" i="136"/>
  <c r="E74" i="136"/>
  <c r="F74" i="136"/>
  <c r="H74" i="136"/>
  <c r="AI18" i="16"/>
  <c r="G74" i="136"/>
  <c r="AH18" i="16"/>
  <c r="D73" i="136"/>
  <c r="E73" i="136"/>
  <c r="F73" i="136"/>
  <c r="H73" i="136"/>
  <c r="AI17" i="16"/>
  <c r="G73" i="136"/>
  <c r="AH17" i="16"/>
  <c r="D72" i="136"/>
  <c r="E72" i="136"/>
  <c r="F72" i="136"/>
  <c r="H72" i="136"/>
  <c r="AI16" i="16"/>
  <c r="G72" i="136"/>
  <c r="AH16" i="16"/>
  <c r="D71" i="136"/>
  <c r="E71" i="136"/>
  <c r="F71" i="136"/>
  <c r="H71" i="136"/>
  <c r="AI15" i="16"/>
  <c r="G71" i="136"/>
  <c r="AH15" i="16"/>
  <c r="D70" i="136"/>
  <c r="E70" i="136"/>
  <c r="F70" i="136"/>
  <c r="H70" i="136"/>
  <c r="AI14" i="16"/>
  <c r="G70" i="136"/>
  <c r="AH14" i="16"/>
  <c r="D69" i="136"/>
  <c r="E69" i="136"/>
  <c r="F69" i="136"/>
  <c r="H69" i="136"/>
  <c r="AI13" i="16"/>
  <c r="G69" i="136"/>
  <c r="AH13" i="16"/>
  <c r="D68" i="136"/>
  <c r="E68" i="136"/>
  <c r="F68" i="136"/>
  <c r="H68" i="136"/>
  <c r="AI12" i="16"/>
  <c r="G68" i="136"/>
  <c r="AH12" i="16"/>
  <c r="D67" i="136"/>
  <c r="E67" i="136"/>
  <c r="F67" i="136"/>
  <c r="H67" i="136"/>
  <c r="AI11" i="16"/>
  <c r="G67" i="136"/>
  <c r="AH11" i="16"/>
  <c r="D66" i="136"/>
  <c r="E66" i="136"/>
  <c r="F66" i="136"/>
  <c r="H66" i="136"/>
  <c r="AI10" i="16"/>
  <c r="G66" i="136"/>
  <c r="AH10" i="16"/>
  <c r="D65" i="136"/>
  <c r="E65" i="136"/>
  <c r="F65" i="136"/>
  <c r="H65" i="136"/>
  <c r="AI9" i="16"/>
  <c r="G65" i="136"/>
  <c r="AH9" i="16"/>
  <c r="D64" i="136"/>
  <c r="E64" i="136"/>
  <c r="F64" i="136"/>
  <c r="H64" i="136"/>
  <c r="AI8" i="16"/>
  <c r="G64" i="136"/>
  <c r="AH8" i="16"/>
  <c r="D63" i="136"/>
  <c r="E63" i="136"/>
  <c r="F63" i="136"/>
  <c r="H63" i="136"/>
  <c r="AI7" i="16"/>
  <c r="G63" i="136"/>
  <c r="AH7" i="16"/>
  <c r="D62" i="136"/>
  <c r="E62" i="136"/>
  <c r="F62" i="136"/>
  <c r="H62" i="136"/>
  <c r="AI6" i="16"/>
  <c r="G62" i="136"/>
  <c r="AH6" i="16"/>
  <c r="D61" i="136"/>
  <c r="E61" i="136"/>
  <c r="F61" i="136"/>
  <c r="H61" i="136"/>
  <c r="AI5" i="16"/>
  <c r="G61" i="136"/>
  <c r="AH5" i="16"/>
  <c r="D81" i="151"/>
  <c r="E81" i="151"/>
  <c r="F81" i="151"/>
  <c r="H81" i="151"/>
  <c r="AG25" i="16"/>
  <c r="G81" i="151"/>
  <c r="AF25" i="16"/>
  <c r="D80" i="151"/>
  <c r="E80" i="151"/>
  <c r="F80" i="151"/>
  <c r="H80" i="151"/>
  <c r="AG24" i="16"/>
  <c r="G80" i="151"/>
  <c r="AF24" i="16"/>
  <c r="D79" i="151"/>
  <c r="E79" i="151"/>
  <c r="F79" i="151"/>
  <c r="H79" i="151"/>
  <c r="AG23" i="16"/>
  <c r="G79" i="151"/>
  <c r="AF23" i="16"/>
  <c r="D78" i="151"/>
  <c r="E78" i="151"/>
  <c r="F78" i="151"/>
  <c r="H78" i="151"/>
  <c r="AG22" i="16"/>
  <c r="G78" i="151"/>
  <c r="AF22" i="16"/>
  <c r="D77" i="151"/>
  <c r="E77" i="151"/>
  <c r="F77" i="151"/>
  <c r="H77" i="151"/>
  <c r="AG21" i="16"/>
  <c r="G77" i="151"/>
  <c r="AF21" i="16"/>
  <c r="D76" i="151"/>
  <c r="E76" i="151"/>
  <c r="F76" i="151"/>
  <c r="H76" i="151"/>
  <c r="AG20" i="16"/>
  <c r="G76" i="151"/>
  <c r="AF20" i="16"/>
  <c r="D75" i="151"/>
  <c r="E75" i="151"/>
  <c r="F75" i="151"/>
  <c r="H75" i="151"/>
  <c r="AG19" i="16"/>
  <c r="G75" i="151"/>
  <c r="AF19" i="16"/>
  <c r="D74" i="151"/>
  <c r="E74" i="151"/>
  <c r="F74" i="151"/>
  <c r="H74" i="151"/>
  <c r="AG18" i="16"/>
  <c r="G74" i="151"/>
  <c r="AF18" i="16"/>
  <c r="D73" i="151"/>
  <c r="E73" i="151"/>
  <c r="F73" i="151"/>
  <c r="H73" i="151"/>
  <c r="AG17" i="16"/>
  <c r="G73" i="151"/>
  <c r="AF17" i="16"/>
  <c r="D72" i="151"/>
  <c r="E72" i="151"/>
  <c r="F72" i="151"/>
  <c r="H72" i="151"/>
  <c r="AG16" i="16"/>
  <c r="G72" i="151"/>
  <c r="AF16" i="16"/>
  <c r="D71" i="151"/>
  <c r="E71" i="151"/>
  <c r="F71" i="151"/>
  <c r="H71" i="151"/>
  <c r="AG15" i="16"/>
  <c r="G71" i="151"/>
  <c r="AF15" i="16"/>
  <c r="D70" i="151"/>
  <c r="E70" i="151"/>
  <c r="F70" i="151"/>
  <c r="H70" i="151"/>
  <c r="AG14" i="16"/>
  <c r="G70" i="151"/>
  <c r="AF14" i="16"/>
  <c r="D69" i="151"/>
  <c r="E69" i="151"/>
  <c r="F69" i="151"/>
  <c r="H69" i="151"/>
  <c r="AG13" i="16"/>
  <c r="G69" i="151"/>
  <c r="AF13" i="16"/>
  <c r="D68" i="151"/>
  <c r="E68" i="151"/>
  <c r="F68" i="151"/>
  <c r="H68" i="151"/>
  <c r="AG12" i="16"/>
  <c r="G68" i="151"/>
  <c r="AF12" i="16"/>
  <c r="D67" i="151"/>
  <c r="E67" i="151"/>
  <c r="F67" i="151"/>
  <c r="H67" i="151"/>
  <c r="AG11" i="16"/>
  <c r="G67" i="151"/>
  <c r="AF11" i="16"/>
  <c r="D66" i="151"/>
  <c r="E66" i="151"/>
  <c r="F66" i="151"/>
  <c r="H66" i="151"/>
  <c r="AG10" i="16"/>
  <c r="G66" i="151"/>
  <c r="AF10" i="16"/>
  <c r="D65" i="151"/>
  <c r="E65" i="151"/>
  <c r="F65" i="151"/>
  <c r="H65" i="151"/>
  <c r="AG9" i="16"/>
  <c r="G65" i="151"/>
  <c r="AF9" i="16"/>
  <c r="D64" i="151"/>
  <c r="E64" i="151"/>
  <c r="F64" i="151"/>
  <c r="H64" i="151"/>
  <c r="AG8" i="16"/>
  <c r="G64" i="151"/>
  <c r="AF8" i="16"/>
  <c r="D63" i="151"/>
  <c r="E63" i="151"/>
  <c r="F63" i="151"/>
  <c r="H63" i="151"/>
  <c r="AG7" i="16"/>
  <c r="G63" i="151"/>
  <c r="AF7" i="16"/>
  <c r="D62" i="151"/>
  <c r="E62" i="151"/>
  <c r="F62" i="151"/>
  <c r="H62" i="151"/>
  <c r="AG6" i="16"/>
  <c r="G62" i="151"/>
  <c r="AF6" i="16"/>
  <c r="D61" i="151"/>
  <c r="E61" i="151"/>
  <c r="F61" i="151"/>
  <c r="H61" i="151"/>
  <c r="AG5" i="16"/>
  <c r="G61" i="151"/>
  <c r="AF5" i="16"/>
  <c r="D81" i="150"/>
  <c r="E81" i="150"/>
  <c r="F81" i="150"/>
  <c r="H81" i="150"/>
  <c r="AE25" i="16"/>
  <c r="G81" i="150"/>
  <c r="AD25" i="16"/>
  <c r="D80" i="150"/>
  <c r="E80" i="150"/>
  <c r="F80" i="150"/>
  <c r="H80" i="150"/>
  <c r="AE24" i="16"/>
  <c r="G80" i="150"/>
  <c r="AD24" i="16"/>
  <c r="D79" i="150"/>
  <c r="E79" i="150"/>
  <c r="F79" i="150"/>
  <c r="H79" i="150"/>
  <c r="AE23" i="16"/>
  <c r="G79" i="150"/>
  <c r="AD23" i="16"/>
  <c r="D78" i="150"/>
  <c r="E78" i="150"/>
  <c r="F78" i="150"/>
  <c r="H78" i="150"/>
  <c r="AE22" i="16"/>
  <c r="G78" i="150"/>
  <c r="AD22" i="16"/>
  <c r="D77" i="150"/>
  <c r="E77" i="150"/>
  <c r="F77" i="150"/>
  <c r="H77" i="150"/>
  <c r="AE21" i="16"/>
  <c r="G77" i="150"/>
  <c r="AD21" i="16"/>
  <c r="D76" i="150"/>
  <c r="E76" i="150"/>
  <c r="F76" i="150"/>
  <c r="H76" i="150"/>
  <c r="AE20" i="16"/>
  <c r="G76" i="150"/>
  <c r="AD20" i="16"/>
  <c r="D75" i="150"/>
  <c r="E75" i="150"/>
  <c r="F75" i="150"/>
  <c r="H75" i="150"/>
  <c r="AE19" i="16"/>
  <c r="G75" i="150"/>
  <c r="AD19" i="16"/>
  <c r="D74" i="150"/>
  <c r="E74" i="150"/>
  <c r="F74" i="150"/>
  <c r="H74" i="150"/>
  <c r="AE18" i="16"/>
  <c r="G74" i="150"/>
  <c r="AD18" i="16"/>
  <c r="D73" i="150"/>
  <c r="E73" i="150"/>
  <c r="F73" i="150"/>
  <c r="H73" i="150"/>
  <c r="AE17" i="16"/>
  <c r="G73" i="150"/>
  <c r="AD17" i="16"/>
  <c r="D72" i="150"/>
  <c r="E72" i="150"/>
  <c r="F72" i="150"/>
  <c r="H72" i="150"/>
  <c r="AE16" i="16"/>
  <c r="G72" i="150"/>
  <c r="AD16" i="16"/>
  <c r="D71" i="150"/>
  <c r="E71" i="150"/>
  <c r="F71" i="150"/>
  <c r="H71" i="150"/>
  <c r="AE15" i="16"/>
  <c r="G71" i="150"/>
  <c r="AD15" i="16"/>
  <c r="D70" i="150"/>
  <c r="E70" i="150"/>
  <c r="F70" i="150"/>
  <c r="H70" i="150"/>
  <c r="AE14" i="16"/>
  <c r="G70" i="150"/>
  <c r="AD14" i="16"/>
  <c r="D69" i="150"/>
  <c r="E69" i="150"/>
  <c r="F69" i="150"/>
  <c r="H69" i="150"/>
  <c r="AE13" i="16"/>
  <c r="G69" i="150"/>
  <c r="AD13" i="16"/>
  <c r="D68" i="150"/>
  <c r="E68" i="150"/>
  <c r="F68" i="150"/>
  <c r="H68" i="150"/>
  <c r="AE12" i="16"/>
  <c r="G68" i="150"/>
  <c r="AD12" i="16"/>
  <c r="D67" i="150"/>
  <c r="E67" i="150"/>
  <c r="F67" i="150"/>
  <c r="H67" i="150"/>
  <c r="AE11" i="16"/>
  <c r="G67" i="150"/>
  <c r="AD11" i="16"/>
  <c r="D66" i="150"/>
  <c r="E66" i="150"/>
  <c r="F66" i="150"/>
  <c r="H66" i="150"/>
  <c r="AE10" i="16"/>
  <c r="G66" i="150"/>
  <c r="AD10" i="16"/>
  <c r="D65" i="150"/>
  <c r="E65" i="150"/>
  <c r="F65" i="150"/>
  <c r="H65" i="150"/>
  <c r="AE9" i="16"/>
  <c r="G65" i="150"/>
  <c r="AD9" i="16"/>
  <c r="D64" i="150"/>
  <c r="E64" i="150"/>
  <c r="F64" i="150"/>
  <c r="H64" i="150"/>
  <c r="AE8" i="16"/>
  <c r="G64" i="150"/>
  <c r="AD8" i="16"/>
  <c r="D63" i="150"/>
  <c r="E63" i="150"/>
  <c r="F63" i="150"/>
  <c r="H63" i="150"/>
  <c r="AE7" i="16"/>
  <c r="G63" i="150"/>
  <c r="AD7" i="16"/>
  <c r="D62" i="150"/>
  <c r="E62" i="150"/>
  <c r="F62" i="150"/>
  <c r="H62" i="150"/>
  <c r="AE6" i="16"/>
  <c r="G62" i="150"/>
  <c r="AD6" i="16"/>
  <c r="D61" i="150"/>
  <c r="E61" i="150"/>
  <c r="F61" i="150"/>
  <c r="H61" i="150"/>
  <c r="AE5" i="16"/>
  <c r="G61" i="150"/>
  <c r="AD5" i="16"/>
  <c r="D81" i="149"/>
  <c r="E81" i="149"/>
  <c r="F81" i="149"/>
  <c r="H81" i="149"/>
  <c r="AC25" i="16"/>
  <c r="G81" i="149"/>
  <c r="AB25" i="16"/>
  <c r="D80" i="149"/>
  <c r="E80" i="149"/>
  <c r="F80" i="149"/>
  <c r="H80" i="149"/>
  <c r="AC24" i="16"/>
  <c r="G80" i="149"/>
  <c r="AB24" i="16"/>
  <c r="D79" i="149"/>
  <c r="E79" i="149"/>
  <c r="F79" i="149"/>
  <c r="H79" i="149"/>
  <c r="AC23" i="16"/>
  <c r="G79" i="149"/>
  <c r="AB23" i="16"/>
  <c r="D78" i="149"/>
  <c r="E78" i="149"/>
  <c r="F78" i="149"/>
  <c r="H78" i="149"/>
  <c r="AC22" i="16"/>
  <c r="G78" i="149"/>
  <c r="AB22" i="16"/>
  <c r="D77" i="149"/>
  <c r="E77" i="149"/>
  <c r="F77" i="149"/>
  <c r="H77" i="149"/>
  <c r="AC21" i="16"/>
  <c r="G77" i="149"/>
  <c r="AB21" i="16"/>
  <c r="D76" i="149"/>
  <c r="E76" i="149"/>
  <c r="F76" i="149"/>
  <c r="H76" i="149"/>
  <c r="AC20" i="16"/>
  <c r="G76" i="149"/>
  <c r="AB20" i="16"/>
  <c r="D75" i="149"/>
  <c r="E75" i="149"/>
  <c r="F75" i="149"/>
  <c r="H75" i="149"/>
  <c r="AC19" i="16"/>
  <c r="G75" i="149"/>
  <c r="AB19" i="16"/>
  <c r="D74" i="149"/>
  <c r="E74" i="149"/>
  <c r="F74" i="149"/>
  <c r="H74" i="149"/>
  <c r="AC18" i="16"/>
  <c r="G74" i="149"/>
  <c r="AB18" i="16"/>
  <c r="D73" i="149"/>
  <c r="E73" i="149"/>
  <c r="F73" i="149"/>
  <c r="H73" i="149"/>
  <c r="AC17" i="16"/>
  <c r="G73" i="149"/>
  <c r="AB17" i="16"/>
  <c r="D72" i="149"/>
  <c r="E72" i="149"/>
  <c r="F72" i="149"/>
  <c r="H72" i="149"/>
  <c r="AC16" i="16"/>
  <c r="G72" i="149"/>
  <c r="AB16" i="16"/>
  <c r="D71" i="149"/>
  <c r="E71" i="149"/>
  <c r="F71" i="149"/>
  <c r="H71" i="149"/>
  <c r="AC15" i="16"/>
  <c r="G71" i="149"/>
  <c r="AB15" i="16"/>
  <c r="D70" i="149"/>
  <c r="E70" i="149"/>
  <c r="F70" i="149"/>
  <c r="H70" i="149"/>
  <c r="AC14" i="16"/>
  <c r="G70" i="149"/>
  <c r="AB14" i="16"/>
  <c r="D69" i="149"/>
  <c r="E69" i="149"/>
  <c r="F69" i="149"/>
  <c r="H69" i="149"/>
  <c r="AC13" i="16"/>
  <c r="G69" i="149"/>
  <c r="AB13" i="16"/>
  <c r="D68" i="149"/>
  <c r="E68" i="149"/>
  <c r="F68" i="149"/>
  <c r="H68" i="149"/>
  <c r="AC12" i="16"/>
  <c r="G68" i="149"/>
  <c r="AB12" i="16"/>
  <c r="D67" i="149"/>
  <c r="E67" i="149"/>
  <c r="F67" i="149"/>
  <c r="H67" i="149"/>
  <c r="AC11" i="16"/>
  <c r="G67" i="149"/>
  <c r="AB11" i="16"/>
  <c r="D66" i="149"/>
  <c r="E66" i="149"/>
  <c r="F66" i="149"/>
  <c r="H66" i="149"/>
  <c r="AC10" i="16"/>
  <c r="G66" i="149"/>
  <c r="AB10" i="16"/>
  <c r="D65" i="149"/>
  <c r="E65" i="149"/>
  <c r="F65" i="149"/>
  <c r="H65" i="149"/>
  <c r="AC9" i="16"/>
  <c r="G65" i="149"/>
  <c r="AB9" i="16"/>
  <c r="D64" i="149"/>
  <c r="E64" i="149"/>
  <c r="F64" i="149"/>
  <c r="H64" i="149"/>
  <c r="AC8" i="16"/>
  <c r="G64" i="149"/>
  <c r="AB8" i="16"/>
  <c r="D63" i="149"/>
  <c r="E63" i="149"/>
  <c r="F63" i="149"/>
  <c r="H63" i="149"/>
  <c r="AC7" i="16"/>
  <c r="G63" i="149"/>
  <c r="AB7" i="16"/>
  <c r="D62" i="149"/>
  <c r="E62" i="149"/>
  <c r="F62" i="149"/>
  <c r="H62" i="149"/>
  <c r="AC6" i="16"/>
  <c r="G62" i="149"/>
  <c r="AB6" i="16"/>
  <c r="D61" i="149"/>
  <c r="E61" i="149"/>
  <c r="F61" i="149"/>
  <c r="H61" i="149"/>
  <c r="AC5" i="16"/>
  <c r="G61" i="149"/>
  <c r="AB5" i="16"/>
  <c r="D81" i="148"/>
  <c r="E81" i="148"/>
  <c r="F81" i="148"/>
  <c r="H81" i="148"/>
  <c r="AA25" i="16"/>
  <c r="G81" i="148"/>
  <c r="Z25" i="16"/>
  <c r="D80" i="148"/>
  <c r="E80" i="148"/>
  <c r="F80" i="148"/>
  <c r="H80" i="148"/>
  <c r="AA24" i="16"/>
  <c r="G80" i="148"/>
  <c r="Z24" i="16"/>
  <c r="D79" i="148"/>
  <c r="E79" i="148"/>
  <c r="F79" i="148"/>
  <c r="H79" i="148"/>
  <c r="AA23" i="16"/>
  <c r="G79" i="148"/>
  <c r="Z23" i="16"/>
  <c r="D78" i="148"/>
  <c r="E78" i="148"/>
  <c r="F78" i="148"/>
  <c r="H78" i="148"/>
  <c r="AA22" i="16"/>
  <c r="G78" i="148"/>
  <c r="Z22" i="16"/>
  <c r="D77" i="148"/>
  <c r="E77" i="148"/>
  <c r="F77" i="148"/>
  <c r="H77" i="148"/>
  <c r="AA21" i="16"/>
  <c r="G77" i="148"/>
  <c r="Z21" i="16"/>
  <c r="D76" i="148"/>
  <c r="E76" i="148"/>
  <c r="F76" i="148"/>
  <c r="H76" i="148"/>
  <c r="AA20" i="16"/>
  <c r="G76" i="148"/>
  <c r="Z20" i="16"/>
  <c r="D75" i="148"/>
  <c r="E75" i="148"/>
  <c r="F75" i="148"/>
  <c r="H75" i="148"/>
  <c r="AA19" i="16"/>
  <c r="G75" i="148"/>
  <c r="Z19" i="16"/>
  <c r="D74" i="148"/>
  <c r="E74" i="148"/>
  <c r="F74" i="148"/>
  <c r="H74" i="148"/>
  <c r="AA18" i="16"/>
  <c r="G74" i="148"/>
  <c r="Z18" i="16"/>
  <c r="D73" i="148"/>
  <c r="E73" i="148"/>
  <c r="F73" i="148"/>
  <c r="H73" i="148"/>
  <c r="AA17" i="16"/>
  <c r="G73" i="148"/>
  <c r="Z17" i="16"/>
  <c r="D72" i="148"/>
  <c r="E72" i="148"/>
  <c r="F72" i="148"/>
  <c r="H72" i="148"/>
  <c r="AA16" i="16"/>
  <c r="G72" i="148"/>
  <c r="Z16" i="16"/>
  <c r="D71" i="148"/>
  <c r="E71" i="148"/>
  <c r="F71" i="148"/>
  <c r="H71" i="148"/>
  <c r="AA15" i="16"/>
  <c r="G71" i="148"/>
  <c r="Z15" i="16"/>
  <c r="D70" i="148"/>
  <c r="E70" i="148"/>
  <c r="F70" i="148"/>
  <c r="H70" i="148"/>
  <c r="AA14" i="16"/>
  <c r="G70" i="148"/>
  <c r="Z14" i="16"/>
  <c r="D69" i="148"/>
  <c r="E69" i="148"/>
  <c r="F69" i="148"/>
  <c r="H69" i="148"/>
  <c r="AA13" i="16"/>
  <c r="G69" i="148"/>
  <c r="Z13" i="16"/>
  <c r="D68" i="148"/>
  <c r="E68" i="148"/>
  <c r="F68" i="148"/>
  <c r="H68" i="148"/>
  <c r="AA12" i="16"/>
  <c r="G68" i="148"/>
  <c r="Z12" i="16"/>
  <c r="D67" i="148"/>
  <c r="E67" i="148"/>
  <c r="F67" i="148"/>
  <c r="H67" i="148"/>
  <c r="AA11" i="16"/>
  <c r="G67" i="148"/>
  <c r="Z11" i="16"/>
  <c r="D66" i="148"/>
  <c r="E66" i="148"/>
  <c r="F66" i="148"/>
  <c r="H66" i="148"/>
  <c r="AA10" i="16"/>
  <c r="G66" i="148"/>
  <c r="Z10" i="16"/>
  <c r="D65" i="148"/>
  <c r="E65" i="148"/>
  <c r="F65" i="148"/>
  <c r="H65" i="148"/>
  <c r="AA9" i="16"/>
  <c r="G65" i="148"/>
  <c r="Z9" i="16"/>
  <c r="D64" i="148"/>
  <c r="E64" i="148"/>
  <c r="F64" i="148"/>
  <c r="H64" i="148"/>
  <c r="AA8" i="16"/>
  <c r="G64" i="148"/>
  <c r="Z8" i="16"/>
  <c r="D63" i="148"/>
  <c r="E63" i="148"/>
  <c r="F63" i="148"/>
  <c r="H63" i="148"/>
  <c r="AA7" i="16"/>
  <c r="G63" i="148"/>
  <c r="Z7" i="16"/>
  <c r="D62" i="148"/>
  <c r="E62" i="148"/>
  <c r="F62" i="148"/>
  <c r="H62" i="148"/>
  <c r="AA6" i="16"/>
  <c r="G62" i="148"/>
  <c r="Z6" i="16"/>
  <c r="D61" i="148"/>
  <c r="E61" i="148"/>
  <c r="F61" i="148"/>
  <c r="H61" i="148"/>
  <c r="AA5" i="16"/>
  <c r="G61" i="148"/>
  <c r="Z5" i="16"/>
  <c r="D81" i="147"/>
  <c r="E81" i="147"/>
  <c r="F81" i="147"/>
  <c r="H81" i="147"/>
  <c r="Y25" i="16"/>
  <c r="G81" i="147"/>
  <c r="X25" i="16"/>
  <c r="D80" i="147"/>
  <c r="E80" i="147"/>
  <c r="F80" i="147"/>
  <c r="H80" i="147"/>
  <c r="Y24" i="16"/>
  <c r="G80" i="147"/>
  <c r="X24" i="16"/>
  <c r="D79" i="147"/>
  <c r="E79" i="147"/>
  <c r="F79" i="147"/>
  <c r="H79" i="147"/>
  <c r="Y23" i="16"/>
  <c r="G79" i="147"/>
  <c r="X23" i="16"/>
  <c r="D78" i="147"/>
  <c r="E78" i="147"/>
  <c r="F78" i="147"/>
  <c r="H78" i="147"/>
  <c r="Y22" i="16"/>
  <c r="G78" i="147"/>
  <c r="X22" i="16"/>
  <c r="D77" i="147"/>
  <c r="E77" i="147"/>
  <c r="F77" i="147"/>
  <c r="H77" i="147"/>
  <c r="Y21" i="16"/>
  <c r="G77" i="147"/>
  <c r="X21" i="16"/>
  <c r="D76" i="147"/>
  <c r="E76" i="147"/>
  <c r="F76" i="147"/>
  <c r="H76" i="147"/>
  <c r="Y20" i="16"/>
  <c r="G76" i="147"/>
  <c r="X20" i="16"/>
  <c r="D75" i="147"/>
  <c r="E75" i="147"/>
  <c r="F75" i="147"/>
  <c r="H75" i="147"/>
  <c r="Y19" i="16"/>
  <c r="G75" i="147"/>
  <c r="X19" i="16"/>
  <c r="D74" i="147"/>
  <c r="E74" i="147"/>
  <c r="F74" i="147"/>
  <c r="H74" i="147"/>
  <c r="Y18" i="16"/>
  <c r="G74" i="147"/>
  <c r="X18" i="16"/>
  <c r="D73" i="147"/>
  <c r="E73" i="147"/>
  <c r="F73" i="147"/>
  <c r="H73" i="147"/>
  <c r="Y17" i="16"/>
  <c r="G73" i="147"/>
  <c r="X17" i="16"/>
  <c r="D72" i="147"/>
  <c r="E72" i="147"/>
  <c r="F72" i="147"/>
  <c r="H72" i="147"/>
  <c r="Y16" i="16"/>
  <c r="G72" i="147"/>
  <c r="X16" i="16"/>
  <c r="D71" i="147"/>
  <c r="E71" i="147"/>
  <c r="F71" i="147"/>
  <c r="H71" i="147"/>
  <c r="Y15" i="16"/>
  <c r="G71" i="147"/>
  <c r="X15" i="16"/>
  <c r="D70" i="147"/>
  <c r="E70" i="147"/>
  <c r="F70" i="147"/>
  <c r="H70" i="147"/>
  <c r="Y14" i="16"/>
  <c r="G70" i="147"/>
  <c r="X14" i="16"/>
  <c r="D69" i="147"/>
  <c r="E69" i="147"/>
  <c r="F69" i="147"/>
  <c r="H69" i="147"/>
  <c r="Y13" i="16"/>
  <c r="G69" i="147"/>
  <c r="X13" i="16"/>
  <c r="D68" i="147"/>
  <c r="E68" i="147"/>
  <c r="F68" i="147"/>
  <c r="H68" i="147"/>
  <c r="Y12" i="16"/>
  <c r="G68" i="147"/>
  <c r="X12" i="16"/>
  <c r="D67" i="147"/>
  <c r="E67" i="147"/>
  <c r="F67" i="147"/>
  <c r="H67" i="147"/>
  <c r="Y11" i="16"/>
  <c r="G67" i="147"/>
  <c r="X11" i="16"/>
  <c r="D66" i="147"/>
  <c r="E66" i="147"/>
  <c r="F66" i="147"/>
  <c r="H66" i="147"/>
  <c r="Y10" i="16"/>
  <c r="G66" i="147"/>
  <c r="X10" i="16"/>
  <c r="D65" i="147"/>
  <c r="E65" i="147"/>
  <c r="F65" i="147"/>
  <c r="H65" i="147"/>
  <c r="Y9" i="16"/>
  <c r="G65" i="147"/>
  <c r="X9" i="16"/>
  <c r="D64" i="147"/>
  <c r="E64" i="147"/>
  <c r="F64" i="147"/>
  <c r="H64" i="147"/>
  <c r="Y8" i="16"/>
  <c r="G64" i="147"/>
  <c r="X8" i="16"/>
  <c r="D63" i="147"/>
  <c r="E63" i="147"/>
  <c r="F63" i="147"/>
  <c r="H63" i="147"/>
  <c r="Y7" i="16"/>
  <c r="G63" i="147"/>
  <c r="X7" i="16"/>
  <c r="D62" i="147"/>
  <c r="E62" i="147"/>
  <c r="F62" i="147"/>
  <c r="H62" i="147"/>
  <c r="Y6" i="16"/>
  <c r="G62" i="147"/>
  <c r="X6" i="16"/>
  <c r="D61" i="147"/>
  <c r="E61" i="147"/>
  <c r="F61" i="147"/>
  <c r="H61" i="147"/>
  <c r="Y5" i="16"/>
  <c r="G61" i="147"/>
  <c r="X5" i="16"/>
  <c r="D81" i="146"/>
  <c r="E81" i="146"/>
  <c r="F81" i="146"/>
  <c r="H81" i="146"/>
  <c r="W25" i="16"/>
  <c r="G81" i="146"/>
  <c r="V25" i="16"/>
  <c r="D80" i="146"/>
  <c r="E80" i="146"/>
  <c r="F80" i="146"/>
  <c r="H80" i="146"/>
  <c r="W24" i="16"/>
  <c r="G80" i="146"/>
  <c r="V24" i="16"/>
  <c r="D79" i="146"/>
  <c r="E79" i="146"/>
  <c r="F79" i="146"/>
  <c r="H79" i="146"/>
  <c r="W23" i="16"/>
  <c r="G79" i="146"/>
  <c r="V23" i="16"/>
  <c r="D78" i="146"/>
  <c r="E78" i="146"/>
  <c r="F78" i="146"/>
  <c r="H78" i="146"/>
  <c r="W22" i="16"/>
  <c r="G78" i="146"/>
  <c r="V22" i="16"/>
  <c r="D77" i="146"/>
  <c r="E77" i="146"/>
  <c r="F77" i="146"/>
  <c r="H77" i="146"/>
  <c r="W21" i="16"/>
  <c r="G77" i="146"/>
  <c r="V21" i="16"/>
  <c r="D76" i="146"/>
  <c r="E76" i="146"/>
  <c r="F76" i="146"/>
  <c r="H76" i="146"/>
  <c r="W20" i="16"/>
  <c r="G76" i="146"/>
  <c r="V20" i="16"/>
  <c r="D75" i="146"/>
  <c r="E75" i="146"/>
  <c r="F75" i="146"/>
  <c r="H75" i="146"/>
  <c r="W19" i="16"/>
  <c r="G75" i="146"/>
  <c r="V19" i="16"/>
  <c r="D74" i="146"/>
  <c r="E74" i="146"/>
  <c r="F74" i="146"/>
  <c r="H74" i="146"/>
  <c r="W18" i="16"/>
  <c r="G74" i="146"/>
  <c r="V18" i="16"/>
  <c r="D73" i="146"/>
  <c r="E73" i="146"/>
  <c r="F73" i="146"/>
  <c r="H73" i="146"/>
  <c r="W17" i="16"/>
  <c r="G73" i="146"/>
  <c r="V17" i="16"/>
  <c r="D72" i="146"/>
  <c r="E72" i="146"/>
  <c r="F72" i="146"/>
  <c r="H72" i="146"/>
  <c r="W16" i="16"/>
  <c r="G72" i="146"/>
  <c r="V16" i="16"/>
  <c r="D71" i="146"/>
  <c r="E71" i="146"/>
  <c r="F71" i="146"/>
  <c r="H71" i="146"/>
  <c r="W15" i="16"/>
  <c r="G71" i="146"/>
  <c r="V15" i="16"/>
  <c r="D70" i="146"/>
  <c r="E70" i="146"/>
  <c r="F70" i="146"/>
  <c r="H70" i="146"/>
  <c r="W14" i="16"/>
  <c r="G70" i="146"/>
  <c r="V14" i="16"/>
  <c r="D69" i="146"/>
  <c r="E69" i="146"/>
  <c r="F69" i="146"/>
  <c r="H69" i="146"/>
  <c r="W13" i="16"/>
  <c r="G69" i="146"/>
  <c r="V13" i="16"/>
  <c r="D68" i="146"/>
  <c r="E68" i="146"/>
  <c r="F68" i="146"/>
  <c r="H68" i="146"/>
  <c r="W12" i="16"/>
  <c r="G68" i="146"/>
  <c r="V12" i="16"/>
  <c r="D67" i="146"/>
  <c r="E67" i="146"/>
  <c r="F67" i="146"/>
  <c r="H67" i="146"/>
  <c r="W11" i="16"/>
  <c r="G67" i="146"/>
  <c r="V11" i="16"/>
  <c r="D66" i="146"/>
  <c r="E66" i="146"/>
  <c r="F66" i="146"/>
  <c r="H66" i="146"/>
  <c r="W10" i="16"/>
  <c r="G66" i="146"/>
  <c r="V10" i="16"/>
  <c r="D65" i="146"/>
  <c r="E65" i="146"/>
  <c r="F65" i="146"/>
  <c r="H65" i="146"/>
  <c r="W9" i="16"/>
  <c r="G65" i="146"/>
  <c r="V9" i="16"/>
  <c r="D64" i="146"/>
  <c r="E64" i="146"/>
  <c r="F64" i="146"/>
  <c r="H64" i="146"/>
  <c r="W8" i="16"/>
  <c r="G64" i="146"/>
  <c r="V8" i="16"/>
  <c r="D63" i="146"/>
  <c r="E63" i="146"/>
  <c r="F63" i="146"/>
  <c r="H63" i="146"/>
  <c r="W7" i="16"/>
  <c r="G63" i="146"/>
  <c r="V7" i="16"/>
  <c r="D62" i="146"/>
  <c r="E62" i="146"/>
  <c r="F62" i="146"/>
  <c r="H62" i="146"/>
  <c r="W6" i="16"/>
  <c r="G62" i="146"/>
  <c r="V6" i="16"/>
  <c r="D61" i="146"/>
  <c r="E61" i="146"/>
  <c r="F61" i="146"/>
  <c r="H61" i="146"/>
  <c r="W5" i="16"/>
  <c r="G61" i="146"/>
  <c r="V5" i="16"/>
  <c r="D81" i="145"/>
  <c r="E81" i="145"/>
  <c r="F81" i="145"/>
  <c r="H81" i="145"/>
  <c r="U25" i="16"/>
  <c r="G81" i="145"/>
  <c r="T25" i="16"/>
  <c r="D80" i="145"/>
  <c r="E80" i="145"/>
  <c r="F80" i="145"/>
  <c r="H80" i="145"/>
  <c r="U24" i="16"/>
  <c r="G80" i="145"/>
  <c r="T24" i="16"/>
  <c r="D79" i="145"/>
  <c r="E79" i="145"/>
  <c r="F79" i="145"/>
  <c r="H79" i="145"/>
  <c r="U23" i="16"/>
  <c r="G79" i="145"/>
  <c r="T23" i="16"/>
  <c r="D78" i="145"/>
  <c r="E78" i="145"/>
  <c r="F78" i="145"/>
  <c r="H78" i="145"/>
  <c r="U22" i="16"/>
  <c r="G78" i="145"/>
  <c r="T22" i="16"/>
  <c r="D77" i="145"/>
  <c r="E77" i="145"/>
  <c r="F77" i="145"/>
  <c r="H77" i="145"/>
  <c r="U21" i="16"/>
  <c r="G77" i="145"/>
  <c r="T21" i="16"/>
  <c r="D76" i="145"/>
  <c r="E76" i="145"/>
  <c r="F76" i="145"/>
  <c r="H76" i="145"/>
  <c r="U20" i="16"/>
  <c r="G76" i="145"/>
  <c r="T20" i="16"/>
  <c r="D75" i="145"/>
  <c r="E75" i="145"/>
  <c r="F75" i="145"/>
  <c r="H75" i="145"/>
  <c r="U19" i="16"/>
  <c r="G75" i="145"/>
  <c r="T19" i="16"/>
  <c r="D74" i="145"/>
  <c r="E74" i="145"/>
  <c r="F74" i="145"/>
  <c r="H74" i="145"/>
  <c r="U18" i="16"/>
  <c r="G74" i="145"/>
  <c r="T18" i="16"/>
  <c r="D73" i="145"/>
  <c r="E73" i="145"/>
  <c r="F73" i="145"/>
  <c r="H73" i="145"/>
  <c r="U17" i="16"/>
  <c r="G73" i="145"/>
  <c r="T17" i="16"/>
  <c r="D72" i="145"/>
  <c r="E72" i="145"/>
  <c r="F72" i="145"/>
  <c r="H72" i="145"/>
  <c r="U16" i="16"/>
  <c r="G72" i="145"/>
  <c r="T16" i="16"/>
  <c r="D71" i="145"/>
  <c r="E71" i="145"/>
  <c r="F71" i="145"/>
  <c r="H71" i="145"/>
  <c r="U15" i="16"/>
  <c r="G71" i="145"/>
  <c r="T15" i="16"/>
  <c r="D70" i="145"/>
  <c r="E70" i="145"/>
  <c r="F70" i="145"/>
  <c r="H70" i="145"/>
  <c r="U14" i="16"/>
  <c r="G70" i="145"/>
  <c r="T14" i="16"/>
  <c r="D69" i="145"/>
  <c r="E69" i="145"/>
  <c r="F69" i="145"/>
  <c r="H69" i="145"/>
  <c r="U13" i="16"/>
  <c r="G69" i="145"/>
  <c r="T13" i="16"/>
  <c r="D68" i="145"/>
  <c r="E68" i="145"/>
  <c r="F68" i="145"/>
  <c r="H68" i="145"/>
  <c r="U12" i="16"/>
  <c r="G68" i="145"/>
  <c r="T12" i="16"/>
  <c r="D67" i="145"/>
  <c r="E67" i="145"/>
  <c r="F67" i="145"/>
  <c r="H67" i="145"/>
  <c r="U11" i="16"/>
  <c r="G67" i="145"/>
  <c r="T11" i="16"/>
  <c r="D66" i="145"/>
  <c r="E66" i="145"/>
  <c r="F66" i="145"/>
  <c r="H66" i="145"/>
  <c r="U10" i="16"/>
  <c r="G66" i="145"/>
  <c r="T10" i="16"/>
  <c r="D65" i="145"/>
  <c r="E65" i="145"/>
  <c r="F65" i="145"/>
  <c r="H65" i="145"/>
  <c r="U9" i="16"/>
  <c r="G65" i="145"/>
  <c r="T9" i="16"/>
  <c r="D64" i="145"/>
  <c r="E64" i="145"/>
  <c r="F64" i="145"/>
  <c r="H64" i="145"/>
  <c r="U8" i="16"/>
  <c r="G64" i="145"/>
  <c r="T8" i="16"/>
  <c r="D63" i="145"/>
  <c r="E63" i="145"/>
  <c r="F63" i="145"/>
  <c r="H63" i="145"/>
  <c r="U7" i="16"/>
  <c r="G63" i="145"/>
  <c r="T7" i="16"/>
  <c r="D62" i="145"/>
  <c r="E62" i="145"/>
  <c r="F62" i="145"/>
  <c r="H62" i="145"/>
  <c r="U6" i="16"/>
  <c r="G62" i="145"/>
  <c r="T6" i="16"/>
  <c r="D61" i="145"/>
  <c r="E61" i="145"/>
  <c r="F61" i="145"/>
  <c r="H61" i="145"/>
  <c r="U5" i="16"/>
  <c r="G61" i="145"/>
  <c r="T5" i="16"/>
  <c r="D81" i="144"/>
  <c r="E81" i="144"/>
  <c r="F81" i="144"/>
  <c r="H81" i="144"/>
  <c r="S25" i="16"/>
  <c r="G81" i="144"/>
  <c r="R25" i="16"/>
  <c r="D80" i="144"/>
  <c r="E80" i="144"/>
  <c r="F80" i="144"/>
  <c r="H80" i="144"/>
  <c r="S24" i="16"/>
  <c r="G80" i="144"/>
  <c r="R24" i="16"/>
  <c r="D79" i="144"/>
  <c r="E79" i="144"/>
  <c r="F79" i="144"/>
  <c r="H79" i="144"/>
  <c r="S23" i="16"/>
  <c r="G79" i="144"/>
  <c r="R23" i="16"/>
  <c r="D78" i="144"/>
  <c r="E78" i="144"/>
  <c r="F78" i="144"/>
  <c r="H78" i="144"/>
  <c r="S22" i="16"/>
  <c r="G78" i="144"/>
  <c r="R22" i="16"/>
  <c r="D77" i="144"/>
  <c r="E77" i="144"/>
  <c r="F77" i="144"/>
  <c r="H77" i="144"/>
  <c r="S21" i="16"/>
  <c r="G77" i="144"/>
  <c r="R21" i="16"/>
  <c r="D76" i="144"/>
  <c r="E76" i="144"/>
  <c r="F76" i="144"/>
  <c r="H76" i="144"/>
  <c r="S20" i="16"/>
  <c r="G76" i="144"/>
  <c r="R20" i="16"/>
  <c r="D75" i="144"/>
  <c r="E75" i="144"/>
  <c r="F75" i="144"/>
  <c r="H75" i="144"/>
  <c r="S19" i="16"/>
  <c r="G75" i="144"/>
  <c r="R19" i="16"/>
  <c r="D74" i="144"/>
  <c r="E74" i="144"/>
  <c r="F74" i="144"/>
  <c r="H74" i="144"/>
  <c r="S18" i="16"/>
  <c r="G74" i="144"/>
  <c r="R18" i="16"/>
  <c r="D73" i="144"/>
  <c r="E73" i="144"/>
  <c r="F73" i="144"/>
  <c r="H73" i="144"/>
  <c r="S17" i="16"/>
  <c r="G73" i="144"/>
  <c r="R17" i="16"/>
  <c r="D72" i="144"/>
  <c r="E72" i="144"/>
  <c r="F72" i="144"/>
  <c r="H72" i="144"/>
  <c r="S16" i="16"/>
  <c r="G72" i="144"/>
  <c r="R16" i="16"/>
  <c r="D71" i="144"/>
  <c r="E71" i="144"/>
  <c r="F71" i="144"/>
  <c r="H71" i="144"/>
  <c r="S15" i="16"/>
  <c r="G71" i="144"/>
  <c r="R15" i="16"/>
  <c r="D70" i="144"/>
  <c r="E70" i="144"/>
  <c r="F70" i="144"/>
  <c r="H70" i="144"/>
  <c r="S14" i="16"/>
  <c r="G70" i="144"/>
  <c r="R14" i="16"/>
  <c r="D69" i="144"/>
  <c r="E69" i="144"/>
  <c r="F69" i="144"/>
  <c r="H69" i="144"/>
  <c r="S13" i="16"/>
  <c r="G69" i="144"/>
  <c r="R13" i="16"/>
  <c r="D68" i="144"/>
  <c r="E68" i="144"/>
  <c r="F68" i="144"/>
  <c r="H68" i="144"/>
  <c r="S12" i="16"/>
  <c r="G68" i="144"/>
  <c r="R12" i="16"/>
  <c r="D67" i="144"/>
  <c r="E67" i="144"/>
  <c r="F67" i="144"/>
  <c r="H67" i="144"/>
  <c r="S11" i="16"/>
  <c r="G67" i="144"/>
  <c r="R11" i="16"/>
  <c r="D66" i="144"/>
  <c r="E66" i="144"/>
  <c r="F66" i="144"/>
  <c r="H66" i="144"/>
  <c r="S10" i="16"/>
  <c r="G66" i="144"/>
  <c r="R10" i="16"/>
  <c r="D65" i="144"/>
  <c r="E65" i="144"/>
  <c r="F65" i="144"/>
  <c r="H65" i="144"/>
  <c r="S9" i="16"/>
  <c r="G65" i="144"/>
  <c r="R9" i="16"/>
  <c r="D64" i="144"/>
  <c r="E64" i="144"/>
  <c r="F64" i="144"/>
  <c r="H64" i="144"/>
  <c r="S8" i="16"/>
  <c r="G64" i="144"/>
  <c r="R8" i="16"/>
  <c r="D63" i="144"/>
  <c r="E63" i="144"/>
  <c r="F63" i="144"/>
  <c r="H63" i="144"/>
  <c r="S7" i="16"/>
  <c r="G63" i="144"/>
  <c r="R7" i="16"/>
  <c r="D62" i="144"/>
  <c r="E62" i="144"/>
  <c r="F62" i="144"/>
  <c r="H62" i="144"/>
  <c r="S6" i="16"/>
  <c r="G62" i="144"/>
  <c r="R6" i="16"/>
  <c r="D61" i="144"/>
  <c r="E61" i="144"/>
  <c r="F61" i="144"/>
  <c r="H61" i="144"/>
  <c r="S5" i="16"/>
  <c r="G61" i="144"/>
  <c r="R5" i="16"/>
  <c r="D81" i="143"/>
  <c r="E81" i="143"/>
  <c r="F81" i="143"/>
  <c r="H81" i="143"/>
  <c r="Q25" i="16"/>
  <c r="G81" i="143"/>
  <c r="P25" i="16"/>
  <c r="D80" i="143"/>
  <c r="E80" i="143"/>
  <c r="F80" i="143"/>
  <c r="H80" i="143"/>
  <c r="Q24" i="16"/>
  <c r="G80" i="143"/>
  <c r="P24" i="16"/>
  <c r="D79" i="143"/>
  <c r="E79" i="143"/>
  <c r="F79" i="143"/>
  <c r="H79" i="143"/>
  <c r="Q23" i="16"/>
  <c r="G79" i="143"/>
  <c r="P23" i="16"/>
  <c r="D78" i="143"/>
  <c r="E78" i="143"/>
  <c r="F78" i="143"/>
  <c r="H78" i="143"/>
  <c r="Q22" i="16"/>
  <c r="G78" i="143"/>
  <c r="P22" i="16"/>
  <c r="D77" i="143"/>
  <c r="E77" i="143"/>
  <c r="F77" i="143"/>
  <c r="H77" i="143"/>
  <c r="Q21" i="16"/>
  <c r="G77" i="143"/>
  <c r="P21" i="16"/>
  <c r="D76" i="143"/>
  <c r="E76" i="143"/>
  <c r="F76" i="143"/>
  <c r="H76" i="143"/>
  <c r="Q20" i="16"/>
  <c r="G76" i="143"/>
  <c r="P20" i="16"/>
  <c r="D75" i="143"/>
  <c r="E75" i="143"/>
  <c r="F75" i="143"/>
  <c r="H75" i="143"/>
  <c r="Q19" i="16"/>
  <c r="G75" i="143"/>
  <c r="P19" i="16"/>
  <c r="D74" i="143"/>
  <c r="E74" i="143"/>
  <c r="F74" i="143"/>
  <c r="H74" i="143"/>
  <c r="Q18" i="16"/>
  <c r="G74" i="143"/>
  <c r="P18" i="16"/>
  <c r="D73" i="143"/>
  <c r="E73" i="143"/>
  <c r="F73" i="143"/>
  <c r="H73" i="143"/>
  <c r="Q17" i="16"/>
  <c r="G73" i="143"/>
  <c r="P17" i="16"/>
  <c r="D72" i="143"/>
  <c r="E72" i="143"/>
  <c r="F72" i="143"/>
  <c r="H72" i="143"/>
  <c r="Q16" i="16"/>
  <c r="G72" i="143"/>
  <c r="P16" i="16"/>
  <c r="D71" i="143"/>
  <c r="E71" i="143"/>
  <c r="F71" i="143"/>
  <c r="H71" i="143"/>
  <c r="Q15" i="16"/>
  <c r="G71" i="143"/>
  <c r="P15" i="16"/>
  <c r="D70" i="143"/>
  <c r="E70" i="143"/>
  <c r="F70" i="143"/>
  <c r="H70" i="143"/>
  <c r="Q14" i="16"/>
  <c r="G70" i="143"/>
  <c r="P14" i="16"/>
  <c r="D69" i="143"/>
  <c r="E69" i="143"/>
  <c r="F69" i="143"/>
  <c r="H69" i="143"/>
  <c r="Q13" i="16"/>
  <c r="G69" i="143"/>
  <c r="P13" i="16"/>
  <c r="D68" i="143"/>
  <c r="E68" i="143"/>
  <c r="F68" i="143"/>
  <c r="H68" i="143"/>
  <c r="Q12" i="16"/>
  <c r="G68" i="143"/>
  <c r="P12" i="16"/>
  <c r="D67" i="143"/>
  <c r="E67" i="143"/>
  <c r="F67" i="143"/>
  <c r="H67" i="143"/>
  <c r="Q11" i="16"/>
  <c r="G67" i="143"/>
  <c r="P11" i="16"/>
  <c r="D66" i="143"/>
  <c r="E66" i="143"/>
  <c r="F66" i="143"/>
  <c r="H66" i="143"/>
  <c r="Q10" i="16"/>
  <c r="G66" i="143"/>
  <c r="P10" i="16"/>
  <c r="D65" i="143"/>
  <c r="E65" i="143"/>
  <c r="F65" i="143"/>
  <c r="H65" i="143"/>
  <c r="Q9" i="16"/>
  <c r="G65" i="143"/>
  <c r="P9" i="16"/>
  <c r="D64" i="143"/>
  <c r="E64" i="143"/>
  <c r="F64" i="143"/>
  <c r="H64" i="143"/>
  <c r="Q8" i="16"/>
  <c r="G64" i="143"/>
  <c r="P8" i="16"/>
  <c r="D63" i="143"/>
  <c r="E63" i="143"/>
  <c r="F63" i="143"/>
  <c r="H63" i="143"/>
  <c r="Q7" i="16"/>
  <c r="G63" i="143"/>
  <c r="P7" i="16"/>
  <c r="D62" i="143"/>
  <c r="E62" i="143"/>
  <c r="F62" i="143"/>
  <c r="H62" i="143"/>
  <c r="Q6" i="16"/>
  <c r="G62" i="143"/>
  <c r="P6" i="16"/>
  <c r="D61" i="143"/>
  <c r="E61" i="143"/>
  <c r="F61" i="143"/>
  <c r="H61" i="143"/>
  <c r="Q5" i="16"/>
  <c r="G61" i="143"/>
  <c r="P5" i="16"/>
  <c r="D81" i="142"/>
  <c r="E81" i="142"/>
  <c r="F81" i="142"/>
  <c r="H81" i="142"/>
  <c r="O25" i="16"/>
  <c r="G81" i="142"/>
  <c r="N25" i="16"/>
  <c r="D80" i="142"/>
  <c r="E80" i="142"/>
  <c r="F80" i="142"/>
  <c r="H80" i="142"/>
  <c r="O24" i="16"/>
  <c r="G80" i="142"/>
  <c r="N24" i="16"/>
  <c r="D79" i="142"/>
  <c r="E79" i="142"/>
  <c r="F79" i="142"/>
  <c r="H79" i="142"/>
  <c r="O23" i="16"/>
  <c r="G79" i="142"/>
  <c r="N23" i="16"/>
  <c r="D78" i="142"/>
  <c r="E78" i="142"/>
  <c r="F78" i="142"/>
  <c r="H78" i="142"/>
  <c r="O22" i="16"/>
  <c r="G78" i="142"/>
  <c r="N22" i="16"/>
  <c r="D77" i="142"/>
  <c r="E77" i="142"/>
  <c r="F77" i="142"/>
  <c r="H77" i="142"/>
  <c r="O21" i="16"/>
  <c r="G77" i="142"/>
  <c r="N21" i="16"/>
  <c r="D76" i="142"/>
  <c r="E76" i="142"/>
  <c r="F76" i="142"/>
  <c r="H76" i="142"/>
  <c r="O20" i="16"/>
  <c r="G76" i="142"/>
  <c r="N20" i="16"/>
  <c r="D75" i="142"/>
  <c r="E75" i="142"/>
  <c r="F75" i="142"/>
  <c r="H75" i="142"/>
  <c r="O19" i="16"/>
  <c r="G75" i="142"/>
  <c r="N19" i="16"/>
  <c r="D74" i="142"/>
  <c r="E74" i="142"/>
  <c r="F74" i="142"/>
  <c r="H74" i="142"/>
  <c r="O18" i="16"/>
  <c r="G74" i="142"/>
  <c r="N18" i="16"/>
  <c r="D73" i="142"/>
  <c r="E73" i="142"/>
  <c r="F73" i="142"/>
  <c r="H73" i="142"/>
  <c r="O17" i="16"/>
  <c r="G73" i="142"/>
  <c r="N17" i="16"/>
  <c r="D72" i="142"/>
  <c r="E72" i="142"/>
  <c r="F72" i="142"/>
  <c r="H72" i="142"/>
  <c r="O16" i="16"/>
  <c r="G72" i="142"/>
  <c r="N16" i="16"/>
  <c r="D71" i="142"/>
  <c r="E71" i="142"/>
  <c r="F71" i="142"/>
  <c r="H71" i="142"/>
  <c r="O15" i="16"/>
  <c r="G71" i="142"/>
  <c r="N15" i="16"/>
  <c r="D70" i="142"/>
  <c r="E70" i="142"/>
  <c r="F70" i="142"/>
  <c r="H70" i="142"/>
  <c r="O14" i="16"/>
  <c r="G70" i="142"/>
  <c r="N14" i="16"/>
  <c r="D69" i="142"/>
  <c r="E69" i="142"/>
  <c r="F69" i="142"/>
  <c r="H69" i="142"/>
  <c r="O13" i="16"/>
  <c r="G69" i="142"/>
  <c r="N13" i="16"/>
  <c r="D68" i="142"/>
  <c r="E68" i="142"/>
  <c r="F68" i="142"/>
  <c r="H68" i="142"/>
  <c r="O12" i="16"/>
  <c r="G68" i="142"/>
  <c r="N12" i="16"/>
  <c r="D67" i="142"/>
  <c r="E67" i="142"/>
  <c r="F67" i="142"/>
  <c r="H67" i="142"/>
  <c r="O11" i="16"/>
  <c r="G67" i="142"/>
  <c r="N11" i="16"/>
  <c r="D66" i="142"/>
  <c r="E66" i="142"/>
  <c r="F66" i="142"/>
  <c r="H66" i="142"/>
  <c r="O10" i="16"/>
  <c r="G66" i="142"/>
  <c r="N10" i="16"/>
  <c r="D65" i="142"/>
  <c r="E65" i="142"/>
  <c r="F65" i="142"/>
  <c r="H65" i="142"/>
  <c r="O9" i="16"/>
  <c r="G65" i="142"/>
  <c r="N9" i="16"/>
  <c r="D64" i="142"/>
  <c r="E64" i="142"/>
  <c r="F64" i="142"/>
  <c r="H64" i="142"/>
  <c r="O8" i="16"/>
  <c r="G64" i="142"/>
  <c r="N8" i="16"/>
  <c r="D63" i="142"/>
  <c r="E63" i="142"/>
  <c r="F63" i="142"/>
  <c r="H63" i="142"/>
  <c r="O7" i="16"/>
  <c r="G63" i="142"/>
  <c r="N7" i="16"/>
  <c r="D62" i="142"/>
  <c r="E62" i="142"/>
  <c r="F62" i="142"/>
  <c r="H62" i="142"/>
  <c r="O6" i="16"/>
  <c r="G62" i="142"/>
  <c r="N6" i="16"/>
  <c r="D61" i="142"/>
  <c r="E61" i="142"/>
  <c r="F61" i="142"/>
  <c r="H61" i="142"/>
  <c r="O5" i="16"/>
  <c r="G61" i="142"/>
  <c r="N5" i="16"/>
  <c r="D81" i="135"/>
  <c r="E81" i="135"/>
  <c r="F81" i="135"/>
  <c r="H81" i="135"/>
  <c r="M25" i="16"/>
  <c r="G81" i="135"/>
  <c r="L25" i="16"/>
  <c r="D80" i="135"/>
  <c r="E80" i="135"/>
  <c r="F80" i="135"/>
  <c r="H80" i="135"/>
  <c r="M24" i="16"/>
  <c r="G80" i="135"/>
  <c r="L24" i="16"/>
  <c r="D79" i="135"/>
  <c r="E79" i="135"/>
  <c r="F79" i="135"/>
  <c r="H79" i="135"/>
  <c r="M23" i="16"/>
  <c r="G79" i="135"/>
  <c r="L23" i="16"/>
  <c r="D78" i="135"/>
  <c r="E78" i="135"/>
  <c r="F78" i="135"/>
  <c r="H78" i="135"/>
  <c r="M22" i="16"/>
  <c r="G78" i="135"/>
  <c r="L22" i="16"/>
  <c r="D77" i="135"/>
  <c r="E77" i="135"/>
  <c r="F77" i="135"/>
  <c r="H77" i="135"/>
  <c r="M21" i="16"/>
  <c r="G77" i="135"/>
  <c r="L21" i="16"/>
  <c r="D76" i="135"/>
  <c r="E76" i="135"/>
  <c r="F76" i="135"/>
  <c r="H76" i="135"/>
  <c r="M20" i="16"/>
  <c r="G76" i="135"/>
  <c r="L20" i="16"/>
  <c r="D75" i="135"/>
  <c r="E75" i="135"/>
  <c r="F75" i="135"/>
  <c r="H75" i="135"/>
  <c r="M19" i="16"/>
  <c r="G75" i="135"/>
  <c r="L19" i="16"/>
  <c r="D74" i="135"/>
  <c r="E74" i="135"/>
  <c r="F74" i="135"/>
  <c r="H74" i="135"/>
  <c r="M18" i="16"/>
  <c r="G74" i="135"/>
  <c r="L18" i="16"/>
  <c r="D73" i="135"/>
  <c r="E73" i="135"/>
  <c r="F73" i="135"/>
  <c r="H73" i="135"/>
  <c r="M17" i="16"/>
  <c r="G73" i="135"/>
  <c r="L17" i="16"/>
  <c r="D72" i="135"/>
  <c r="E72" i="135"/>
  <c r="F72" i="135"/>
  <c r="H72" i="135"/>
  <c r="M16" i="16"/>
  <c r="G72" i="135"/>
  <c r="L16" i="16"/>
  <c r="D71" i="135"/>
  <c r="E71" i="135"/>
  <c r="F71" i="135"/>
  <c r="H71" i="135"/>
  <c r="M15" i="16"/>
  <c r="G71" i="135"/>
  <c r="L15" i="16"/>
  <c r="D70" i="135"/>
  <c r="E70" i="135"/>
  <c r="F70" i="135"/>
  <c r="H70" i="135"/>
  <c r="M14" i="16"/>
  <c r="G70" i="135"/>
  <c r="L14" i="16"/>
  <c r="D69" i="135"/>
  <c r="E69" i="135"/>
  <c r="F69" i="135"/>
  <c r="H69" i="135"/>
  <c r="M13" i="16"/>
  <c r="G69" i="135"/>
  <c r="L13" i="16"/>
  <c r="D68" i="135"/>
  <c r="E68" i="135"/>
  <c r="F68" i="135"/>
  <c r="H68" i="135"/>
  <c r="M12" i="16"/>
  <c r="G68" i="135"/>
  <c r="L12" i="16"/>
  <c r="D67" i="135"/>
  <c r="E67" i="135"/>
  <c r="F67" i="135"/>
  <c r="H67" i="135"/>
  <c r="M11" i="16"/>
  <c r="G67" i="135"/>
  <c r="L11" i="16"/>
  <c r="D66" i="135"/>
  <c r="E66" i="135"/>
  <c r="F66" i="135"/>
  <c r="H66" i="135"/>
  <c r="M10" i="16"/>
  <c r="G66" i="135"/>
  <c r="L10" i="16"/>
  <c r="D65" i="135"/>
  <c r="E65" i="135"/>
  <c r="F65" i="135"/>
  <c r="H65" i="135"/>
  <c r="M9" i="16"/>
  <c r="G65" i="135"/>
  <c r="L9" i="16"/>
  <c r="D64" i="135"/>
  <c r="E64" i="135"/>
  <c r="F64" i="135"/>
  <c r="H64" i="135"/>
  <c r="M8" i="16"/>
  <c r="G64" i="135"/>
  <c r="L8" i="16"/>
  <c r="D63" i="135"/>
  <c r="E63" i="135"/>
  <c r="F63" i="135"/>
  <c r="H63" i="135"/>
  <c r="M7" i="16"/>
  <c r="G63" i="135"/>
  <c r="L7" i="16"/>
  <c r="D62" i="135"/>
  <c r="E62" i="135"/>
  <c r="F62" i="135"/>
  <c r="H62" i="135"/>
  <c r="M6" i="16"/>
  <c r="G62" i="135"/>
  <c r="L6" i="16"/>
  <c r="D61" i="135"/>
  <c r="E61" i="135"/>
  <c r="F61" i="135"/>
  <c r="H61" i="135"/>
  <c r="M5" i="16"/>
  <c r="G61" i="135"/>
  <c r="L5" i="16"/>
  <c r="D81" i="134"/>
  <c r="E81" i="134"/>
  <c r="F81" i="134"/>
  <c r="H81" i="134"/>
  <c r="K25" i="16"/>
  <c r="G81" i="134"/>
  <c r="J25" i="16"/>
  <c r="D80" i="134"/>
  <c r="E80" i="134"/>
  <c r="F80" i="134"/>
  <c r="H80" i="134"/>
  <c r="K24" i="16"/>
  <c r="G80" i="134"/>
  <c r="J24" i="16"/>
  <c r="D79" i="134"/>
  <c r="E79" i="134"/>
  <c r="F79" i="134"/>
  <c r="H79" i="134"/>
  <c r="K23" i="16"/>
  <c r="G79" i="134"/>
  <c r="J23" i="16"/>
  <c r="D78" i="134"/>
  <c r="E78" i="134"/>
  <c r="F78" i="134"/>
  <c r="H78" i="134"/>
  <c r="K22" i="16"/>
  <c r="G78" i="134"/>
  <c r="J22" i="16"/>
  <c r="D77" i="134"/>
  <c r="E77" i="134"/>
  <c r="F77" i="134"/>
  <c r="H77" i="134"/>
  <c r="K21" i="16"/>
  <c r="G77" i="134"/>
  <c r="J21" i="16"/>
  <c r="D76" i="134"/>
  <c r="E76" i="134"/>
  <c r="F76" i="134"/>
  <c r="H76" i="134"/>
  <c r="K20" i="16"/>
  <c r="G76" i="134"/>
  <c r="J20" i="16"/>
  <c r="D75" i="134"/>
  <c r="E75" i="134"/>
  <c r="F75" i="134"/>
  <c r="H75" i="134"/>
  <c r="K19" i="16"/>
  <c r="G75" i="134"/>
  <c r="J19" i="16"/>
  <c r="D74" i="134"/>
  <c r="E74" i="134"/>
  <c r="F74" i="134"/>
  <c r="H74" i="134"/>
  <c r="K18" i="16"/>
  <c r="G74" i="134"/>
  <c r="J18" i="16"/>
  <c r="D73" i="134"/>
  <c r="E73" i="134"/>
  <c r="F73" i="134"/>
  <c r="H73" i="134"/>
  <c r="K17" i="16"/>
  <c r="G73" i="134"/>
  <c r="J17" i="16"/>
  <c r="D72" i="134"/>
  <c r="E72" i="134"/>
  <c r="F72" i="134"/>
  <c r="H72" i="134"/>
  <c r="K16" i="16"/>
  <c r="G72" i="134"/>
  <c r="J16" i="16"/>
  <c r="D71" i="134"/>
  <c r="E71" i="134"/>
  <c r="F71" i="134"/>
  <c r="H71" i="134"/>
  <c r="K15" i="16"/>
  <c r="G71" i="134"/>
  <c r="J15" i="16"/>
  <c r="D70" i="134"/>
  <c r="E70" i="134"/>
  <c r="F70" i="134"/>
  <c r="H70" i="134"/>
  <c r="K14" i="16"/>
  <c r="G70" i="134"/>
  <c r="J14" i="16"/>
  <c r="D69" i="134"/>
  <c r="E69" i="134"/>
  <c r="F69" i="134"/>
  <c r="H69" i="134"/>
  <c r="K13" i="16"/>
  <c r="G69" i="134"/>
  <c r="J13" i="16"/>
  <c r="D68" i="134"/>
  <c r="E68" i="134"/>
  <c r="F68" i="134"/>
  <c r="H68" i="134"/>
  <c r="K12" i="16"/>
  <c r="G68" i="134"/>
  <c r="J12" i="16"/>
  <c r="D67" i="134"/>
  <c r="E67" i="134"/>
  <c r="F67" i="134"/>
  <c r="H67" i="134"/>
  <c r="K11" i="16"/>
  <c r="G67" i="134"/>
  <c r="J11" i="16"/>
  <c r="D66" i="134"/>
  <c r="E66" i="134"/>
  <c r="F66" i="134"/>
  <c r="H66" i="134"/>
  <c r="K10" i="16"/>
  <c r="G66" i="134"/>
  <c r="J10" i="16"/>
  <c r="D65" i="134"/>
  <c r="E65" i="134"/>
  <c r="F65" i="134"/>
  <c r="H65" i="134"/>
  <c r="K9" i="16"/>
  <c r="G65" i="134"/>
  <c r="J9" i="16"/>
  <c r="D64" i="134"/>
  <c r="E64" i="134"/>
  <c r="F64" i="134"/>
  <c r="H64" i="134"/>
  <c r="K8" i="16"/>
  <c r="G64" i="134"/>
  <c r="J8" i="16"/>
  <c r="D63" i="134"/>
  <c r="E63" i="134"/>
  <c r="F63" i="134"/>
  <c r="H63" i="134"/>
  <c r="K7" i="16"/>
  <c r="G63" i="134"/>
  <c r="J7" i="16"/>
  <c r="D62" i="134"/>
  <c r="E62" i="134"/>
  <c r="F62" i="134"/>
  <c r="H62" i="134"/>
  <c r="K6" i="16"/>
  <c r="G62" i="134"/>
  <c r="J6" i="16"/>
  <c r="D61" i="134"/>
  <c r="E61" i="134"/>
  <c r="F61" i="134"/>
  <c r="H61" i="134"/>
  <c r="K5" i="16"/>
  <c r="G61" i="134"/>
  <c r="J5" i="16"/>
  <c r="D81" i="128"/>
  <c r="F81" i="128"/>
  <c r="E81" i="128"/>
  <c r="H81" i="128"/>
  <c r="I25" i="16"/>
  <c r="G81" i="128"/>
  <c r="H25" i="16"/>
  <c r="D80" i="128"/>
  <c r="E80" i="128"/>
  <c r="F80" i="128"/>
  <c r="H80" i="128"/>
  <c r="I24" i="16"/>
  <c r="G80" i="128"/>
  <c r="H24" i="16"/>
  <c r="D79" i="128"/>
  <c r="F79" i="128"/>
  <c r="H79" i="128"/>
  <c r="I23" i="16"/>
  <c r="G79" i="128"/>
  <c r="H23" i="16"/>
  <c r="D78" i="128"/>
  <c r="H78" i="128"/>
  <c r="I22" i="16"/>
  <c r="G78" i="128"/>
  <c r="H22" i="16"/>
  <c r="D77" i="128"/>
  <c r="F77" i="128"/>
  <c r="H77" i="128"/>
  <c r="I21" i="16"/>
  <c r="G77" i="128"/>
  <c r="H21" i="16"/>
  <c r="D76" i="128"/>
  <c r="E76" i="128"/>
  <c r="F76" i="128"/>
  <c r="H76" i="128"/>
  <c r="I20" i="16"/>
  <c r="G76" i="128"/>
  <c r="H20" i="16"/>
  <c r="D75" i="128"/>
  <c r="E75" i="128"/>
  <c r="F75" i="128"/>
  <c r="H75" i="128"/>
  <c r="I19" i="16"/>
  <c r="G75" i="128"/>
  <c r="H19" i="16"/>
  <c r="D74" i="128"/>
  <c r="E74" i="128"/>
  <c r="F74" i="128"/>
  <c r="H74" i="128"/>
  <c r="I18" i="16"/>
  <c r="G74" i="128"/>
  <c r="H18" i="16"/>
  <c r="D73" i="128"/>
  <c r="E73" i="128"/>
  <c r="F73" i="128"/>
  <c r="H73" i="128"/>
  <c r="I17" i="16"/>
  <c r="G73" i="128"/>
  <c r="H17" i="16"/>
  <c r="D72" i="128"/>
  <c r="E72" i="128"/>
  <c r="F72" i="128"/>
  <c r="H72" i="128"/>
  <c r="I16" i="16"/>
  <c r="G72" i="128"/>
  <c r="H16" i="16"/>
  <c r="D71" i="128"/>
  <c r="E71" i="128"/>
  <c r="F71" i="128"/>
  <c r="H71" i="128"/>
  <c r="I15" i="16"/>
  <c r="G71" i="128"/>
  <c r="H15" i="16"/>
  <c r="D70" i="128"/>
  <c r="E70" i="128"/>
  <c r="F70" i="128"/>
  <c r="H70" i="128"/>
  <c r="I14" i="16"/>
  <c r="G70" i="128"/>
  <c r="H14" i="16"/>
  <c r="D69" i="128"/>
  <c r="E69" i="128"/>
  <c r="F69" i="128"/>
  <c r="H69" i="128"/>
  <c r="I13" i="16"/>
  <c r="G69" i="128"/>
  <c r="H13" i="16"/>
  <c r="D68" i="128"/>
  <c r="E68" i="128"/>
  <c r="F68" i="128"/>
  <c r="H68" i="128"/>
  <c r="I12" i="16"/>
  <c r="G68" i="128"/>
  <c r="H12" i="16"/>
  <c r="D67" i="128"/>
  <c r="E67" i="128"/>
  <c r="F67" i="128"/>
  <c r="H67" i="128"/>
  <c r="I11" i="16"/>
  <c r="G67" i="128"/>
  <c r="H11" i="16"/>
  <c r="D66" i="128"/>
  <c r="E66" i="128"/>
  <c r="F66" i="128"/>
  <c r="H66" i="128"/>
  <c r="I10" i="16"/>
  <c r="G66" i="128"/>
  <c r="H10" i="16"/>
  <c r="D65" i="128"/>
  <c r="E65" i="128"/>
  <c r="F65" i="128"/>
  <c r="H65" i="128"/>
  <c r="I9" i="16"/>
  <c r="G65" i="128"/>
  <c r="H9" i="16"/>
  <c r="D64" i="128"/>
  <c r="E64" i="128"/>
  <c r="F64" i="128"/>
  <c r="H64" i="128"/>
  <c r="I8" i="16"/>
  <c r="G64" i="128"/>
  <c r="H8" i="16"/>
  <c r="D63" i="128"/>
  <c r="E63" i="128"/>
  <c r="F63" i="128"/>
  <c r="H63" i="128"/>
  <c r="I7" i="16"/>
  <c r="G63" i="128"/>
  <c r="H7" i="16"/>
  <c r="D62" i="128"/>
  <c r="E62" i="128"/>
  <c r="F62" i="128"/>
  <c r="H62" i="128"/>
  <c r="I6" i="16"/>
  <c r="G62" i="128"/>
  <c r="H6" i="16"/>
  <c r="D61" i="128"/>
  <c r="E61" i="128"/>
  <c r="F61" i="128"/>
  <c r="H61" i="128"/>
  <c r="I5" i="16"/>
  <c r="G61" i="128"/>
  <c r="H5" i="16"/>
  <c r="D81" i="127"/>
  <c r="E81" i="127"/>
  <c r="F81" i="127"/>
  <c r="H81" i="127"/>
  <c r="G25" i="16"/>
  <c r="G81" i="127"/>
  <c r="F25" i="16"/>
  <c r="D80" i="127"/>
  <c r="E80" i="127"/>
  <c r="F80" i="127"/>
  <c r="H80" i="127"/>
  <c r="G24" i="16"/>
  <c r="G80" i="127"/>
  <c r="F24" i="16"/>
  <c r="D79" i="127"/>
  <c r="E79" i="127"/>
  <c r="F79" i="127"/>
  <c r="H79" i="127"/>
  <c r="G23" i="16"/>
  <c r="G79" i="127"/>
  <c r="F23" i="16"/>
  <c r="D78" i="127"/>
  <c r="E78" i="127"/>
  <c r="F78" i="127"/>
  <c r="H78" i="127"/>
  <c r="G22" i="16"/>
  <c r="G78" i="127"/>
  <c r="F22" i="16"/>
  <c r="D77" i="127"/>
  <c r="E77" i="127"/>
  <c r="H77" i="127"/>
  <c r="G21" i="16"/>
  <c r="G77" i="127"/>
  <c r="F21" i="16"/>
  <c r="D76" i="127"/>
  <c r="E76" i="127"/>
  <c r="F76" i="127"/>
  <c r="H76" i="127"/>
  <c r="G20" i="16"/>
  <c r="G76" i="127"/>
  <c r="F20" i="16"/>
  <c r="D75" i="127"/>
  <c r="E75" i="127"/>
  <c r="F75" i="127"/>
  <c r="H75" i="127"/>
  <c r="G19" i="16"/>
  <c r="G75" i="127"/>
  <c r="F19" i="16"/>
  <c r="D74" i="127"/>
  <c r="E74" i="127"/>
  <c r="F74" i="127"/>
  <c r="H74" i="127"/>
  <c r="G18" i="16"/>
  <c r="G74" i="127"/>
  <c r="F18" i="16"/>
  <c r="D73" i="127"/>
  <c r="E73" i="127"/>
  <c r="F73" i="127"/>
  <c r="H73" i="127"/>
  <c r="G17" i="16"/>
  <c r="G73" i="127"/>
  <c r="F17" i="16"/>
  <c r="D72" i="127"/>
  <c r="E72" i="127"/>
  <c r="F72" i="127"/>
  <c r="H72" i="127"/>
  <c r="G16" i="16"/>
  <c r="G72" i="127"/>
  <c r="F16" i="16"/>
  <c r="D71" i="127"/>
  <c r="E71" i="127"/>
  <c r="F71" i="127"/>
  <c r="H71" i="127"/>
  <c r="G15" i="16"/>
  <c r="G71" i="127"/>
  <c r="F15" i="16"/>
  <c r="D70" i="127"/>
  <c r="E70" i="127"/>
  <c r="F70" i="127"/>
  <c r="H70" i="127"/>
  <c r="G14" i="16"/>
  <c r="G70" i="127"/>
  <c r="F14" i="16"/>
  <c r="D69" i="127"/>
  <c r="E69" i="127"/>
  <c r="F69" i="127"/>
  <c r="H69" i="127"/>
  <c r="G13" i="16"/>
  <c r="G69" i="127"/>
  <c r="F13" i="16"/>
  <c r="D68" i="127"/>
  <c r="E68" i="127"/>
  <c r="F68" i="127"/>
  <c r="H68" i="127"/>
  <c r="G12" i="16"/>
  <c r="G68" i="127"/>
  <c r="F12" i="16"/>
  <c r="D67" i="127"/>
  <c r="E67" i="127"/>
  <c r="F67" i="127"/>
  <c r="H67" i="127"/>
  <c r="G11" i="16"/>
  <c r="G67" i="127"/>
  <c r="F11" i="16"/>
  <c r="D66" i="127"/>
  <c r="E66" i="127"/>
  <c r="F66" i="127"/>
  <c r="H66" i="127"/>
  <c r="G10" i="16"/>
  <c r="G66" i="127"/>
  <c r="F10" i="16"/>
  <c r="D65" i="127"/>
  <c r="E65" i="127"/>
  <c r="F65" i="127"/>
  <c r="H65" i="127"/>
  <c r="G9" i="16"/>
  <c r="G65" i="127"/>
  <c r="F9" i="16"/>
  <c r="D64" i="127"/>
  <c r="E64" i="127"/>
  <c r="F64" i="127"/>
  <c r="H64" i="127"/>
  <c r="G8" i="16"/>
  <c r="G64" i="127"/>
  <c r="F8" i="16"/>
  <c r="D63" i="127"/>
  <c r="E63" i="127"/>
  <c r="F63" i="127"/>
  <c r="H63" i="127"/>
  <c r="G7" i="16"/>
  <c r="G63" i="127"/>
  <c r="F7" i="16"/>
  <c r="D62" i="127"/>
  <c r="E62" i="127"/>
  <c r="F62" i="127"/>
  <c r="H62" i="127"/>
  <c r="G6" i="16"/>
  <c r="G62" i="127"/>
  <c r="F6" i="16"/>
  <c r="D61" i="127"/>
  <c r="E61" i="127"/>
  <c r="F61" i="127"/>
  <c r="H61" i="127"/>
  <c r="G5" i="16"/>
  <c r="G61" i="127"/>
  <c r="F5" i="16"/>
  <c r="J38" i="140"/>
  <c r="J39" i="140"/>
  <c r="J40" i="140"/>
  <c r="J41" i="140"/>
  <c r="J42" i="140"/>
  <c r="J43" i="140"/>
  <c r="J44" i="140"/>
  <c r="J45" i="140"/>
  <c r="J46" i="140"/>
  <c r="J47" i="140"/>
  <c r="J48" i="140"/>
  <c r="J49" i="140"/>
  <c r="J50" i="140"/>
  <c r="J51" i="140"/>
  <c r="J52" i="140"/>
  <c r="J53" i="140"/>
  <c r="J54" i="140"/>
  <c r="J55" i="140"/>
  <c r="J56" i="140"/>
  <c r="J57" i="140"/>
  <c r="J58" i="140"/>
  <c r="J59" i="140"/>
  <c r="I25" i="67"/>
  <c r="I38" i="140"/>
  <c r="I39" i="140"/>
  <c r="I40" i="140"/>
  <c r="I41" i="140"/>
  <c r="I42" i="140"/>
  <c r="I43" i="140"/>
  <c r="I44" i="140"/>
  <c r="I45" i="140"/>
  <c r="I46" i="140"/>
  <c r="I47" i="140"/>
  <c r="I48" i="140"/>
  <c r="I49" i="140"/>
  <c r="I50" i="140"/>
  <c r="I51" i="140"/>
  <c r="I52" i="140"/>
  <c r="I53" i="140"/>
  <c r="I54" i="140"/>
  <c r="I55" i="140"/>
  <c r="I56" i="140"/>
  <c r="I57" i="140"/>
  <c r="I58" i="140"/>
  <c r="I59" i="140"/>
  <c r="H25" i="67"/>
  <c r="H14" i="140"/>
  <c r="I14" i="140"/>
  <c r="H38" i="140"/>
  <c r="H15" i="140"/>
  <c r="I15" i="140"/>
  <c r="H39" i="140"/>
  <c r="H16" i="140"/>
  <c r="I16" i="140"/>
  <c r="H40" i="140"/>
  <c r="H17" i="140"/>
  <c r="I17" i="140"/>
  <c r="H41" i="140"/>
  <c r="H18" i="140"/>
  <c r="I18" i="140"/>
  <c r="H42" i="140"/>
  <c r="H19" i="140"/>
  <c r="I19" i="140"/>
  <c r="H43" i="140"/>
  <c r="H20" i="140"/>
  <c r="I20" i="140"/>
  <c r="H44" i="140"/>
  <c r="H21" i="140"/>
  <c r="I21" i="140"/>
  <c r="H45" i="140"/>
  <c r="H22" i="140"/>
  <c r="I22" i="140"/>
  <c r="H46" i="140"/>
  <c r="H23" i="140"/>
  <c r="I23" i="140"/>
  <c r="H47" i="140"/>
  <c r="H24" i="140"/>
  <c r="I24" i="140"/>
  <c r="H48" i="140"/>
  <c r="H25" i="140"/>
  <c r="I25" i="140"/>
  <c r="H49" i="140"/>
  <c r="H26" i="140"/>
  <c r="I26" i="140"/>
  <c r="H50" i="140"/>
  <c r="H27" i="140"/>
  <c r="I27" i="140"/>
  <c r="H51" i="140"/>
  <c r="H28" i="140"/>
  <c r="I28" i="140"/>
  <c r="H52" i="140"/>
  <c r="H29" i="140"/>
  <c r="I29" i="140"/>
  <c r="H53" i="140"/>
  <c r="H30" i="140"/>
  <c r="I30" i="140"/>
  <c r="H54" i="140"/>
  <c r="H31" i="140"/>
  <c r="I31" i="140"/>
  <c r="H55" i="140"/>
  <c r="H32" i="140"/>
  <c r="I32" i="140"/>
  <c r="H56" i="140"/>
  <c r="H33" i="140"/>
  <c r="I33" i="140"/>
  <c r="H57" i="140"/>
  <c r="H34" i="140"/>
  <c r="I34" i="140"/>
  <c r="H58" i="140"/>
  <c r="H59" i="140"/>
  <c r="G25" i="67"/>
  <c r="G38" i="140"/>
  <c r="G39" i="140"/>
  <c r="G40" i="140"/>
  <c r="G41" i="140"/>
  <c r="G42" i="140"/>
  <c r="G43" i="140"/>
  <c r="G44" i="140"/>
  <c r="G45" i="140"/>
  <c r="G46" i="140"/>
  <c r="G47" i="140"/>
  <c r="G48" i="140"/>
  <c r="G49" i="140"/>
  <c r="G50" i="140"/>
  <c r="G51" i="140"/>
  <c r="G52" i="140"/>
  <c r="G53" i="140"/>
  <c r="G54" i="140"/>
  <c r="G55" i="140"/>
  <c r="G56" i="140"/>
  <c r="G57" i="140"/>
  <c r="G58" i="140"/>
  <c r="G59" i="140"/>
  <c r="F25" i="67"/>
  <c r="F38" i="140"/>
  <c r="F39" i="140"/>
  <c r="F40" i="140"/>
  <c r="F41" i="140"/>
  <c r="F42" i="140"/>
  <c r="F43" i="140"/>
  <c r="F44" i="140"/>
  <c r="F45" i="140"/>
  <c r="F46" i="140"/>
  <c r="F47" i="140"/>
  <c r="F48" i="140"/>
  <c r="F49" i="140"/>
  <c r="F50" i="140"/>
  <c r="F51" i="140"/>
  <c r="F52" i="140"/>
  <c r="F53" i="140"/>
  <c r="F54" i="140"/>
  <c r="F55" i="140"/>
  <c r="F56" i="140"/>
  <c r="F57" i="140"/>
  <c r="F58" i="140"/>
  <c r="F59" i="140"/>
  <c r="E25" i="67"/>
  <c r="E38" i="140"/>
  <c r="E39" i="140"/>
  <c r="E40" i="140"/>
  <c r="E41" i="140"/>
  <c r="E42" i="140"/>
  <c r="E43" i="140"/>
  <c r="E44" i="140"/>
  <c r="E45" i="140"/>
  <c r="E46" i="140"/>
  <c r="E47" i="140"/>
  <c r="E48" i="140"/>
  <c r="E49" i="140"/>
  <c r="E50" i="140"/>
  <c r="E51" i="140"/>
  <c r="E52" i="140"/>
  <c r="E53" i="140"/>
  <c r="E54" i="140"/>
  <c r="E55" i="140"/>
  <c r="E56" i="140"/>
  <c r="E57" i="140"/>
  <c r="E58" i="140"/>
  <c r="E59" i="140"/>
  <c r="D25" i="67"/>
  <c r="D38" i="140"/>
  <c r="D39" i="140"/>
  <c r="D40" i="140"/>
  <c r="D41" i="140"/>
  <c r="D42" i="140"/>
  <c r="D43" i="140"/>
  <c r="D44" i="140"/>
  <c r="D45" i="140"/>
  <c r="D46" i="140"/>
  <c r="D47" i="140"/>
  <c r="D48" i="140"/>
  <c r="D49" i="140"/>
  <c r="D50" i="140"/>
  <c r="D51" i="140"/>
  <c r="D52" i="140"/>
  <c r="D53" i="140"/>
  <c r="D54" i="140"/>
  <c r="D55" i="140"/>
  <c r="D56" i="140"/>
  <c r="D57" i="140"/>
  <c r="D58" i="140"/>
  <c r="D59" i="140"/>
  <c r="C25" i="67"/>
  <c r="J38" i="139"/>
  <c r="J39" i="139"/>
  <c r="J40" i="139"/>
  <c r="J41" i="139"/>
  <c r="J42" i="139"/>
  <c r="J43" i="139"/>
  <c r="J44" i="139"/>
  <c r="J45" i="139"/>
  <c r="J46" i="139"/>
  <c r="J47" i="139"/>
  <c r="J48" i="139"/>
  <c r="J49" i="139"/>
  <c r="J50" i="139"/>
  <c r="J51" i="139"/>
  <c r="J52" i="139"/>
  <c r="J53" i="139"/>
  <c r="J54" i="139"/>
  <c r="J55" i="139"/>
  <c r="J56" i="139"/>
  <c r="J57" i="139"/>
  <c r="J58" i="139"/>
  <c r="J59" i="139"/>
  <c r="I24" i="67"/>
  <c r="I38" i="139"/>
  <c r="I39" i="139"/>
  <c r="I40" i="139"/>
  <c r="I41" i="139"/>
  <c r="I42" i="139"/>
  <c r="I43" i="139"/>
  <c r="I44" i="139"/>
  <c r="I45" i="139"/>
  <c r="I46" i="139"/>
  <c r="I47" i="139"/>
  <c r="I48" i="139"/>
  <c r="I49" i="139"/>
  <c r="I50" i="139"/>
  <c r="I51" i="139"/>
  <c r="I52" i="139"/>
  <c r="I53" i="139"/>
  <c r="I54" i="139"/>
  <c r="I55" i="139"/>
  <c r="I56" i="139"/>
  <c r="I57" i="139"/>
  <c r="I58" i="139"/>
  <c r="I59" i="139"/>
  <c r="H24" i="67"/>
  <c r="H14" i="139"/>
  <c r="I14" i="139"/>
  <c r="H38" i="139"/>
  <c r="H15" i="139"/>
  <c r="I15" i="139"/>
  <c r="H39" i="139"/>
  <c r="H16" i="139"/>
  <c r="I16" i="139"/>
  <c r="H40" i="139"/>
  <c r="H17" i="139"/>
  <c r="I17" i="139"/>
  <c r="H41" i="139"/>
  <c r="H18" i="139"/>
  <c r="I18" i="139"/>
  <c r="H42" i="139"/>
  <c r="H19" i="139"/>
  <c r="I19" i="139"/>
  <c r="H43" i="139"/>
  <c r="H20" i="139"/>
  <c r="I20" i="139"/>
  <c r="H44" i="139"/>
  <c r="H21" i="139"/>
  <c r="I21" i="139"/>
  <c r="H45" i="139"/>
  <c r="H22" i="139"/>
  <c r="I22" i="139"/>
  <c r="H46" i="139"/>
  <c r="H23" i="139"/>
  <c r="I23" i="139"/>
  <c r="H47" i="139"/>
  <c r="H24" i="139"/>
  <c r="I24" i="139"/>
  <c r="H48" i="139"/>
  <c r="H25" i="139"/>
  <c r="I25" i="139"/>
  <c r="H49" i="139"/>
  <c r="H26" i="139"/>
  <c r="I26" i="139"/>
  <c r="H50" i="139"/>
  <c r="H27" i="139"/>
  <c r="I27" i="139"/>
  <c r="H51" i="139"/>
  <c r="H28" i="139"/>
  <c r="I28" i="139"/>
  <c r="H52" i="139"/>
  <c r="H29" i="139"/>
  <c r="I29" i="139"/>
  <c r="H53" i="139"/>
  <c r="H30" i="139"/>
  <c r="I30" i="139"/>
  <c r="H54" i="139"/>
  <c r="H31" i="139"/>
  <c r="I31" i="139"/>
  <c r="H55" i="139"/>
  <c r="H32" i="139"/>
  <c r="I32" i="139"/>
  <c r="H56" i="139"/>
  <c r="H33" i="139"/>
  <c r="I33" i="139"/>
  <c r="H57" i="139"/>
  <c r="H34" i="139"/>
  <c r="I34" i="139"/>
  <c r="H58" i="139"/>
  <c r="H59" i="139"/>
  <c r="G24" i="67"/>
  <c r="D38" i="139"/>
  <c r="D39" i="139"/>
  <c r="D40" i="139"/>
  <c r="D41" i="139"/>
  <c r="D42" i="139"/>
  <c r="D43" i="139"/>
  <c r="D44" i="139"/>
  <c r="D45" i="139"/>
  <c r="D46" i="139"/>
  <c r="D47" i="139"/>
  <c r="D48" i="139"/>
  <c r="D49" i="139"/>
  <c r="D50" i="139"/>
  <c r="D51" i="139"/>
  <c r="D52" i="139"/>
  <c r="D53" i="139"/>
  <c r="D54" i="139"/>
  <c r="D55" i="139"/>
  <c r="D56" i="139"/>
  <c r="D57" i="139"/>
  <c r="D58" i="139"/>
  <c r="D59" i="139"/>
  <c r="C24" i="67"/>
  <c r="J38" i="138"/>
  <c r="J39" i="138"/>
  <c r="J40" i="138"/>
  <c r="J41" i="138"/>
  <c r="J42" i="138"/>
  <c r="J43" i="138"/>
  <c r="J44" i="138"/>
  <c r="J45" i="138"/>
  <c r="J46" i="138"/>
  <c r="J47" i="138"/>
  <c r="J48" i="138"/>
  <c r="J49" i="138"/>
  <c r="J50" i="138"/>
  <c r="J51" i="138"/>
  <c r="J52" i="138"/>
  <c r="J53" i="138"/>
  <c r="J54" i="138"/>
  <c r="J55" i="138"/>
  <c r="J56" i="138"/>
  <c r="J57" i="138"/>
  <c r="J58" i="138"/>
  <c r="J59" i="138"/>
  <c r="I23" i="67"/>
  <c r="I38" i="138"/>
  <c r="I39" i="138"/>
  <c r="I40" i="138"/>
  <c r="I41" i="138"/>
  <c r="I42" i="138"/>
  <c r="I43" i="138"/>
  <c r="I44" i="138"/>
  <c r="I45" i="138"/>
  <c r="I46" i="138"/>
  <c r="I47" i="138"/>
  <c r="I48" i="138"/>
  <c r="I49" i="138"/>
  <c r="I50" i="138"/>
  <c r="I51" i="138"/>
  <c r="I52" i="138"/>
  <c r="I53" i="138"/>
  <c r="I54" i="138"/>
  <c r="I55" i="138"/>
  <c r="I56" i="138"/>
  <c r="I57" i="138"/>
  <c r="I58" i="138"/>
  <c r="I59" i="138"/>
  <c r="H23" i="67"/>
  <c r="H14" i="138"/>
  <c r="I14" i="138"/>
  <c r="H38" i="138"/>
  <c r="H15" i="138"/>
  <c r="I15" i="138"/>
  <c r="H39" i="138"/>
  <c r="H16" i="138"/>
  <c r="I16" i="138"/>
  <c r="H40" i="138"/>
  <c r="H17" i="138"/>
  <c r="I17" i="138"/>
  <c r="H41" i="138"/>
  <c r="H18" i="138"/>
  <c r="I18" i="138"/>
  <c r="H42" i="138"/>
  <c r="H19" i="138"/>
  <c r="I19" i="138"/>
  <c r="H43" i="138"/>
  <c r="H20" i="138"/>
  <c r="I20" i="138"/>
  <c r="H44" i="138"/>
  <c r="H21" i="138"/>
  <c r="I21" i="138"/>
  <c r="H45" i="138"/>
  <c r="H22" i="138"/>
  <c r="I22" i="138"/>
  <c r="H46" i="138"/>
  <c r="H23" i="138"/>
  <c r="I23" i="138"/>
  <c r="H47" i="138"/>
  <c r="H24" i="138"/>
  <c r="I24" i="138"/>
  <c r="H48" i="138"/>
  <c r="H25" i="138"/>
  <c r="I25" i="138"/>
  <c r="H49" i="138"/>
  <c r="H26" i="138"/>
  <c r="I26" i="138"/>
  <c r="H50" i="138"/>
  <c r="H27" i="138"/>
  <c r="I27" i="138"/>
  <c r="H51" i="138"/>
  <c r="H28" i="138"/>
  <c r="I28" i="138"/>
  <c r="H52" i="138"/>
  <c r="H29" i="138"/>
  <c r="I29" i="138"/>
  <c r="H53" i="138"/>
  <c r="H30" i="138"/>
  <c r="I30" i="138"/>
  <c r="H54" i="138"/>
  <c r="H31" i="138"/>
  <c r="I31" i="138"/>
  <c r="H55" i="138"/>
  <c r="H32" i="138"/>
  <c r="I32" i="138"/>
  <c r="H56" i="138"/>
  <c r="H33" i="138"/>
  <c r="I33" i="138"/>
  <c r="H57" i="138"/>
  <c r="H34" i="138"/>
  <c r="I34" i="138"/>
  <c r="H58" i="138"/>
  <c r="H59" i="138"/>
  <c r="G23" i="67"/>
  <c r="G38" i="138"/>
  <c r="G39" i="138"/>
  <c r="G40" i="138"/>
  <c r="G41" i="138"/>
  <c r="G42" i="138"/>
  <c r="G43" i="138"/>
  <c r="G44" i="138"/>
  <c r="G45" i="138"/>
  <c r="G46" i="138"/>
  <c r="G47" i="138"/>
  <c r="G48" i="138"/>
  <c r="G49" i="138"/>
  <c r="G50" i="138"/>
  <c r="G51" i="138"/>
  <c r="G52" i="138"/>
  <c r="G53" i="138"/>
  <c r="G54" i="138"/>
  <c r="G55" i="138"/>
  <c r="G56" i="138"/>
  <c r="G57" i="138"/>
  <c r="G58" i="138"/>
  <c r="G59" i="138"/>
  <c r="F23" i="67"/>
  <c r="F38" i="138"/>
  <c r="F39" i="138"/>
  <c r="F40" i="138"/>
  <c r="F41" i="138"/>
  <c r="F42" i="138"/>
  <c r="F43" i="138"/>
  <c r="F44" i="138"/>
  <c r="F45" i="138"/>
  <c r="F46" i="138"/>
  <c r="F47" i="138"/>
  <c r="F48" i="138"/>
  <c r="F49" i="138"/>
  <c r="F50" i="138"/>
  <c r="F51" i="138"/>
  <c r="F52" i="138"/>
  <c r="F53" i="138"/>
  <c r="F54" i="138"/>
  <c r="F55" i="138"/>
  <c r="F56" i="138"/>
  <c r="F57" i="138"/>
  <c r="F58" i="138"/>
  <c r="F59" i="138"/>
  <c r="E23" i="67"/>
  <c r="E38" i="138"/>
  <c r="E39" i="138"/>
  <c r="E40" i="138"/>
  <c r="E41" i="138"/>
  <c r="E42" i="138"/>
  <c r="E43" i="138"/>
  <c r="E44" i="138"/>
  <c r="E45" i="138"/>
  <c r="E46" i="138"/>
  <c r="E47" i="138"/>
  <c r="E48" i="138"/>
  <c r="E49" i="138"/>
  <c r="E50" i="138"/>
  <c r="E51" i="138"/>
  <c r="E52" i="138"/>
  <c r="E53" i="138"/>
  <c r="E54" i="138"/>
  <c r="E55" i="138"/>
  <c r="E56" i="138"/>
  <c r="E57" i="138"/>
  <c r="E58" i="138"/>
  <c r="E59" i="138"/>
  <c r="D23" i="67"/>
  <c r="D38" i="138"/>
  <c r="D39" i="138"/>
  <c r="D40" i="138"/>
  <c r="D41" i="138"/>
  <c r="D42" i="138"/>
  <c r="D43" i="138"/>
  <c r="D44" i="138"/>
  <c r="D45" i="138"/>
  <c r="D46" i="138"/>
  <c r="D47" i="138"/>
  <c r="D48" i="138"/>
  <c r="D49" i="138"/>
  <c r="D50" i="138"/>
  <c r="D51" i="138"/>
  <c r="D52" i="138"/>
  <c r="D53" i="138"/>
  <c r="D54" i="138"/>
  <c r="D55" i="138"/>
  <c r="D56" i="138"/>
  <c r="D57" i="138"/>
  <c r="D58" i="138"/>
  <c r="D59" i="138"/>
  <c r="C23" i="67"/>
  <c r="J38" i="137"/>
  <c r="J39" i="137"/>
  <c r="J40" i="137"/>
  <c r="J41" i="137"/>
  <c r="J42" i="137"/>
  <c r="J43" i="137"/>
  <c r="J44" i="137"/>
  <c r="J45" i="137"/>
  <c r="J46" i="137"/>
  <c r="J47" i="137"/>
  <c r="J48" i="137"/>
  <c r="J49" i="137"/>
  <c r="J50" i="137"/>
  <c r="J51" i="137"/>
  <c r="J52" i="137"/>
  <c r="J53" i="137"/>
  <c r="J54" i="137"/>
  <c r="J55" i="137"/>
  <c r="J56" i="137"/>
  <c r="J57" i="137"/>
  <c r="J58" i="137"/>
  <c r="J59" i="137"/>
  <c r="I22" i="67"/>
  <c r="I38" i="137"/>
  <c r="I39" i="137"/>
  <c r="I40" i="137"/>
  <c r="I41" i="137"/>
  <c r="I42" i="137"/>
  <c r="I43" i="137"/>
  <c r="I44" i="137"/>
  <c r="I45" i="137"/>
  <c r="I46" i="137"/>
  <c r="I47" i="137"/>
  <c r="I48" i="137"/>
  <c r="I49" i="137"/>
  <c r="I50" i="137"/>
  <c r="I51" i="137"/>
  <c r="I52" i="137"/>
  <c r="I53" i="137"/>
  <c r="I54" i="137"/>
  <c r="I55" i="137"/>
  <c r="I56" i="137"/>
  <c r="I57" i="137"/>
  <c r="I58" i="137"/>
  <c r="I59" i="137"/>
  <c r="H22" i="67"/>
  <c r="H14" i="137"/>
  <c r="I14" i="137"/>
  <c r="H38" i="137"/>
  <c r="H15" i="137"/>
  <c r="I15" i="137"/>
  <c r="H39" i="137"/>
  <c r="H16" i="137"/>
  <c r="I16" i="137"/>
  <c r="H40" i="137"/>
  <c r="H17" i="137"/>
  <c r="I17" i="137"/>
  <c r="H41" i="137"/>
  <c r="H18" i="137"/>
  <c r="I18" i="137"/>
  <c r="H42" i="137"/>
  <c r="H19" i="137"/>
  <c r="I19" i="137"/>
  <c r="H43" i="137"/>
  <c r="H20" i="137"/>
  <c r="I20" i="137"/>
  <c r="H44" i="137"/>
  <c r="H21" i="137"/>
  <c r="I21" i="137"/>
  <c r="H45" i="137"/>
  <c r="H22" i="137"/>
  <c r="I22" i="137"/>
  <c r="H46" i="137"/>
  <c r="H23" i="137"/>
  <c r="I23" i="137"/>
  <c r="H47" i="137"/>
  <c r="H24" i="137"/>
  <c r="I24" i="137"/>
  <c r="H48" i="137"/>
  <c r="H25" i="137"/>
  <c r="I25" i="137"/>
  <c r="H49" i="137"/>
  <c r="H26" i="137"/>
  <c r="I26" i="137"/>
  <c r="H50" i="137"/>
  <c r="H27" i="137"/>
  <c r="I27" i="137"/>
  <c r="H51" i="137"/>
  <c r="H28" i="137"/>
  <c r="I28" i="137"/>
  <c r="H52" i="137"/>
  <c r="H29" i="137"/>
  <c r="I29" i="137"/>
  <c r="H53" i="137"/>
  <c r="H30" i="137"/>
  <c r="I30" i="137"/>
  <c r="H54" i="137"/>
  <c r="H31" i="137"/>
  <c r="I31" i="137"/>
  <c r="H55" i="137"/>
  <c r="H32" i="137"/>
  <c r="I32" i="137"/>
  <c r="H56" i="137"/>
  <c r="H33" i="137"/>
  <c r="I33" i="137"/>
  <c r="H57" i="137"/>
  <c r="H34" i="137"/>
  <c r="I34" i="137"/>
  <c r="H58" i="137"/>
  <c r="H59" i="137"/>
  <c r="G22" i="67"/>
  <c r="G38" i="137"/>
  <c r="G39" i="137"/>
  <c r="G40" i="137"/>
  <c r="G41" i="137"/>
  <c r="G42" i="137"/>
  <c r="G43" i="137"/>
  <c r="G44" i="137"/>
  <c r="G45" i="137"/>
  <c r="G46" i="137"/>
  <c r="G47" i="137"/>
  <c r="G48" i="137"/>
  <c r="G49" i="137"/>
  <c r="G50" i="137"/>
  <c r="G51" i="137"/>
  <c r="G52" i="137"/>
  <c r="G53" i="137"/>
  <c r="G54" i="137"/>
  <c r="G55" i="137"/>
  <c r="G56" i="137"/>
  <c r="G57" i="137"/>
  <c r="G58" i="137"/>
  <c r="G59" i="137"/>
  <c r="F22" i="67"/>
  <c r="F38" i="137"/>
  <c r="F39" i="137"/>
  <c r="F40" i="137"/>
  <c r="F41" i="137"/>
  <c r="F42" i="137"/>
  <c r="F43" i="137"/>
  <c r="F44" i="137"/>
  <c r="F45" i="137"/>
  <c r="F46" i="137"/>
  <c r="F47" i="137"/>
  <c r="F48" i="137"/>
  <c r="F49" i="137"/>
  <c r="F50" i="137"/>
  <c r="F51" i="137"/>
  <c r="F52" i="137"/>
  <c r="F53" i="137"/>
  <c r="F54" i="137"/>
  <c r="F55" i="137"/>
  <c r="F56" i="137"/>
  <c r="F57" i="137"/>
  <c r="F58" i="137"/>
  <c r="F59" i="137"/>
  <c r="E22" i="67"/>
  <c r="E38" i="137"/>
  <c r="E39" i="137"/>
  <c r="E40" i="137"/>
  <c r="E41" i="137"/>
  <c r="E42" i="137"/>
  <c r="E43" i="137"/>
  <c r="E44" i="137"/>
  <c r="E45" i="137"/>
  <c r="E46" i="137"/>
  <c r="E47" i="137"/>
  <c r="E48" i="137"/>
  <c r="E49" i="137"/>
  <c r="E50" i="137"/>
  <c r="E51" i="137"/>
  <c r="E52" i="137"/>
  <c r="E53" i="137"/>
  <c r="E54" i="137"/>
  <c r="E55" i="137"/>
  <c r="E56" i="137"/>
  <c r="E57" i="137"/>
  <c r="E58" i="137"/>
  <c r="E59" i="137"/>
  <c r="D22" i="67"/>
  <c r="D38" i="137"/>
  <c r="D39" i="137"/>
  <c r="D40" i="137"/>
  <c r="D41" i="137"/>
  <c r="D42" i="137"/>
  <c r="D43" i="137"/>
  <c r="D44" i="137"/>
  <c r="D45" i="137"/>
  <c r="D46" i="137"/>
  <c r="D47" i="137"/>
  <c r="D48" i="137"/>
  <c r="D49" i="137"/>
  <c r="D50" i="137"/>
  <c r="D51" i="137"/>
  <c r="D52" i="137"/>
  <c r="D53" i="137"/>
  <c r="D54" i="137"/>
  <c r="D55" i="137"/>
  <c r="D56" i="137"/>
  <c r="D57" i="137"/>
  <c r="D58" i="137"/>
  <c r="D59" i="137"/>
  <c r="C22" i="67"/>
  <c r="J38" i="136"/>
  <c r="J39" i="136"/>
  <c r="J40" i="136"/>
  <c r="J41" i="136"/>
  <c r="J42" i="136"/>
  <c r="J43" i="136"/>
  <c r="J44" i="136"/>
  <c r="J45" i="136"/>
  <c r="J46" i="136"/>
  <c r="J47" i="136"/>
  <c r="J48" i="136"/>
  <c r="J49" i="136"/>
  <c r="J50" i="136"/>
  <c r="J51" i="136"/>
  <c r="J52" i="136"/>
  <c r="J53" i="136"/>
  <c r="J54" i="136"/>
  <c r="J55" i="136"/>
  <c r="J56" i="136"/>
  <c r="J57" i="136"/>
  <c r="J58" i="136"/>
  <c r="J59" i="136"/>
  <c r="I21" i="67"/>
  <c r="I38" i="136"/>
  <c r="I39" i="136"/>
  <c r="I40" i="136"/>
  <c r="I41" i="136"/>
  <c r="I42" i="136"/>
  <c r="I43" i="136"/>
  <c r="I44" i="136"/>
  <c r="I45" i="136"/>
  <c r="I46" i="136"/>
  <c r="I47" i="136"/>
  <c r="I48" i="136"/>
  <c r="I49" i="136"/>
  <c r="I50" i="136"/>
  <c r="I51" i="136"/>
  <c r="I52" i="136"/>
  <c r="I53" i="136"/>
  <c r="I54" i="136"/>
  <c r="I55" i="136"/>
  <c r="I56" i="136"/>
  <c r="I57" i="136"/>
  <c r="I58" i="136"/>
  <c r="I59" i="136"/>
  <c r="H21" i="67"/>
  <c r="H14" i="136"/>
  <c r="I14" i="136"/>
  <c r="H38" i="136"/>
  <c r="H15" i="136"/>
  <c r="I15" i="136"/>
  <c r="H39" i="136"/>
  <c r="H16" i="136"/>
  <c r="I16" i="136"/>
  <c r="H40" i="136"/>
  <c r="H17" i="136"/>
  <c r="I17" i="136"/>
  <c r="H41" i="136"/>
  <c r="H18" i="136"/>
  <c r="I18" i="136"/>
  <c r="H42" i="136"/>
  <c r="H19" i="136"/>
  <c r="I19" i="136"/>
  <c r="H43" i="136"/>
  <c r="H20" i="136"/>
  <c r="I20" i="136"/>
  <c r="H44" i="136"/>
  <c r="H21" i="136"/>
  <c r="I21" i="136"/>
  <c r="H45" i="136"/>
  <c r="H22" i="136"/>
  <c r="I22" i="136"/>
  <c r="H46" i="136"/>
  <c r="H23" i="136"/>
  <c r="I23" i="136"/>
  <c r="H47" i="136"/>
  <c r="H24" i="136"/>
  <c r="I24" i="136"/>
  <c r="H48" i="136"/>
  <c r="H25" i="136"/>
  <c r="I25" i="136"/>
  <c r="H49" i="136"/>
  <c r="H26" i="136"/>
  <c r="I26" i="136"/>
  <c r="H50" i="136"/>
  <c r="H27" i="136"/>
  <c r="I27" i="136"/>
  <c r="H51" i="136"/>
  <c r="H28" i="136"/>
  <c r="I28" i="136"/>
  <c r="H52" i="136"/>
  <c r="H29" i="136"/>
  <c r="I29" i="136"/>
  <c r="H53" i="136"/>
  <c r="H30" i="136"/>
  <c r="I30" i="136"/>
  <c r="H54" i="136"/>
  <c r="H31" i="136"/>
  <c r="I31" i="136"/>
  <c r="H55" i="136"/>
  <c r="H32" i="136"/>
  <c r="I32" i="136"/>
  <c r="H56" i="136"/>
  <c r="H33" i="136"/>
  <c r="I33" i="136"/>
  <c r="H57" i="136"/>
  <c r="H34" i="136"/>
  <c r="I34" i="136"/>
  <c r="H58" i="136"/>
  <c r="H59" i="136"/>
  <c r="G21" i="67"/>
  <c r="G38" i="136"/>
  <c r="G39" i="136"/>
  <c r="G40" i="136"/>
  <c r="G41" i="136"/>
  <c r="G42" i="136"/>
  <c r="G43" i="136"/>
  <c r="G44" i="136"/>
  <c r="G45" i="136"/>
  <c r="G46" i="136"/>
  <c r="G47" i="136"/>
  <c r="G48" i="136"/>
  <c r="G49" i="136"/>
  <c r="G50" i="136"/>
  <c r="G51" i="136"/>
  <c r="G52" i="136"/>
  <c r="G53" i="136"/>
  <c r="G54" i="136"/>
  <c r="G55" i="136"/>
  <c r="G56" i="136"/>
  <c r="G57" i="136"/>
  <c r="G58" i="136"/>
  <c r="G59" i="136"/>
  <c r="F21" i="67"/>
  <c r="F38" i="136"/>
  <c r="F39" i="136"/>
  <c r="F40" i="136"/>
  <c r="F41" i="136"/>
  <c r="F42" i="136"/>
  <c r="F43" i="136"/>
  <c r="F44" i="136"/>
  <c r="F45" i="136"/>
  <c r="F46" i="136"/>
  <c r="F47" i="136"/>
  <c r="F48" i="136"/>
  <c r="F49" i="136"/>
  <c r="F50" i="136"/>
  <c r="F51" i="136"/>
  <c r="F52" i="136"/>
  <c r="F53" i="136"/>
  <c r="F54" i="136"/>
  <c r="F55" i="136"/>
  <c r="F56" i="136"/>
  <c r="F57" i="136"/>
  <c r="F58" i="136"/>
  <c r="F59" i="136"/>
  <c r="E21" i="67"/>
  <c r="E38" i="136"/>
  <c r="E39" i="136"/>
  <c r="E40" i="136"/>
  <c r="E41" i="136"/>
  <c r="E42" i="136"/>
  <c r="E43" i="136"/>
  <c r="E44" i="136"/>
  <c r="E45" i="136"/>
  <c r="E46" i="136"/>
  <c r="E47" i="136"/>
  <c r="E48" i="136"/>
  <c r="E49" i="136"/>
  <c r="E50" i="136"/>
  <c r="E51" i="136"/>
  <c r="E52" i="136"/>
  <c r="E53" i="136"/>
  <c r="E54" i="136"/>
  <c r="E55" i="136"/>
  <c r="E56" i="136"/>
  <c r="E57" i="136"/>
  <c r="E58" i="136"/>
  <c r="E59" i="136"/>
  <c r="D21" i="67"/>
  <c r="D38" i="136"/>
  <c r="D39" i="136"/>
  <c r="D40" i="136"/>
  <c r="D41" i="136"/>
  <c r="D42" i="136"/>
  <c r="D43" i="136"/>
  <c r="D44" i="136"/>
  <c r="D45" i="136"/>
  <c r="D46" i="136"/>
  <c r="D47" i="136"/>
  <c r="D48" i="136"/>
  <c r="D49" i="136"/>
  <c r="D50" i="136"/>
  <c r="D51" i="136"/>
  <c r="D52" i="136"/>
  <c r="D53" i="136"/>
  <c r="D54" i="136"/>
  <c r="D55" i="136"/>
  <c r="D56" i="136"/>
  <c r="D57" i="136"/>
  <c r="D58" i="136"/>
  <c r="D59" i="136"/>
  <c r="C21" i="67"/>
  <c r="J38" i="151"/>
  <c r="J39" i="151"/>
  <c r="J40" i="151"/>
  <c r="J41" i="151"/>
  <c r="J42" i="151"/>
  <c r="J43" i="151"/>
  <c r="J44" i="151"/>
  <c r="J45" i="151"/>
  <c r="J46" i="151"/>
  <c r="J47" i="151"/>
  <c r="J48" i="151"/>
  <c r="J49" i="151"/>
  <c r="J50" i="151"/>
  <c r="J51" i="151"/>
  <c r="J52" i="151"/>
  <c r="J53" i="151"/>
  <c r="J54" i="151"/>
  <c r="J55" i="151"/>
  <c r="J56" i="151"/>
  <c r="J57" i="151"/>
  <c r="J58" i="151"/>
  <c r="J59" i="151"/>
  <c r="I20" i="67"/>
  <c r="I38" i="151"/>
  <c r="I39" i="151"/>
  <c r="I40" i="151"/>
  <c r="I41" i="151"/>
  <c r="I42" i="151"/>
  <c r="I43" i="151"/>
  <c r="I44" i="151"/>
  <c r="I45" i="151"/>
  <c r="I46" i="151"/>
  <c r="I47" i="151"/>
  <c r="I48" i="151"/>
  <c r="I49" i="151"/>
  <c r="I50" i="151"/>
  <c r="I51" i="151"/>
  <c r="I52" i="151"/>
  <c r="I53" i="151"/>
  <c r="I54" i="151"/>
  <c r="I55" i="151"/>
  <c r="I56" i="151"/>
  <c r="I57" i="151"/>
  <c r="I58" i="151"/>
  <c r="I59" i="151"/>
  <c r="H20" i="67"/>
  <c r="H14" i="151"/>
  <c r="I14" i="151"/>
  <c r="H38" i="151"/>
  <c r="H15" i="151"/>
  <c r="I15" i="151"/>
  <c r="H39" i="151"/>
  <c r="H16" i="151"/>
  <c r="I16" i="151"/>
  <c r="H40" i="151"/>
  <c r="H17" i="151"/>
  <c r="I17" i="151"/>
  <c r="H41" i="151"/>
  <c r="H18" i="151"/>
  <c r="I18" i="151"/>
  <c r="H42" i="151"/>
  <c r="H19" i="151"/>
  <c r="I19" i="151"/>
  <c r="H43" i="151"/>
  <c r="H20" i="151"/>
  <c r="I20" i="151"/>
  <c r="H44" i="151"/>
  <c r="H21" i="151"/>
  <c r="I21" i="151"/>
  <c r="H45" i="151"/>
  <c r="H22" i="151"/>
  <c r="I22" i="151"/>
  <c r="H46" i="151"/>
  <c r="H23" i="151"/>
  <c r="I23" i="151"/>
  <c r="H47" i="151"/>
  <c r="H24" i="151"/>
  <c r="I24" i="151"/>
  <c r="H48" i="151"/>
  <c r="H25" i="151"/>
  <c r="I25" i="151"/>
  <c r="H49" i="151"/>
  <c r="H26" i="151"/>
  <c r="I26" i="151"/>
  <c r="H50" i="151"/>
  <c r="H27" i="151"/>
  <c r="I27" i="151"/>
  <c r="H51" i="151"/>
  <c r="H28" i="151"/>
  <c r="I28" i="151"/>
  <c r="H52" i="151"/>
  <c r="H29" i="151"/>
  <c r="I29" i="151"/>
  <c r="H53" i="151"/>
  <c r="H30" i="151"/>
  <c r="I30" i="151"/>
  <c r="H54" i="151"/>
  <c r="H31" i="151"/>
  <c r="I31" i="151"/>
  <c r="H55" i="151"/>
  <c r="H32" i="151"/>
  <c r="I32" i="151"/>
  <c r="H56" i="151"/>
  <c r="H33" i="151"/>
  <c r="I33" i="151"/>
  <c r="H57" i="151"/>
  <c r="H34" i="151"/>
  <c r="I34" i="151"/>
  <c r="H58" i="151"/>
  <c r="H59" i="151"/>
  <c r="G20" i="67"/>
  <c r="G38" i="151"/>
  <c r="G39" i="151"/>
  <c r="G40" i="151"/>
  <c r="G41" i="151"/>
  <c r="G42" i="151"/>
  <c r="G43" i="151"/>
  <c r="G44" i="151"/>
  <c r="G45" i="151"/>
  <c r="G46" i="151"/>
  <c r="G47" i="151"/>
  <c r="G48" i="151"/>
  <c r="G49" i="151"/>
  <c r="G50" i="151"/>
  <c r="G51" i="151"/>
  <c r="G52" i="151"/>
  <c r="G53" i="151"/>
  <c r="G54" i="151"/>
  <c r="G55" i="151"/>
  <c r="G56" i="151"/>
  <c r="G57" i="151"/>
  <c r="G58" i="151"/>
  <c r="G59" i="151"/>
  <c r="F20" i="67"/>
  <c r="F38" i="151"/>
  <c r="F39" i="151"/>
  <c r="F40" i="151"/>
  <c r="F41" i="151"/>
  <c r="F42" i="151"/>
  <c r="F43" i="151"/>
  <c r="F44" i="151"/>
  <c r="F45" i="151"/>
  <c r="F46" i="151"/>
  <c r="F47" i="151"/>
  <c r="F48" i="151"/>
  <c r="F49" i="151"/>
  <c r="F50" i="151"/>
  <c r="F51" i="151"/>
  <c r="F52" i="151"/>
  <c r="F53" i="151"/>
  <c r="F54" i="151"/>
  <c r="F55" i="151"/>
  <c r="F56" i="151"/>
  <c r="F57" i="151"/>
  <c r="F58" i="151"/>
  <c r="F59" i="151"/>
  <c r="E20" i="67"/>
  <c r="E38" i="151"/>
  <c r="E39" i="151"/>
  <c r="E40" i="151"/>
  <c r="E41" i="151"/>
  <c r="E42" i="151"/>
  <c r="E43" i="151"/>
  <c r="E44" i="151"/>
  <c r="E45" i="151"/>
  <c r="E46" i="151"/>
  <c r="E47" i="151"/>
  <c r="E48" i="151"/>
  <c r="E49" i="151"/>
  <c r="E50" i="151"/>
  <c r="E51" i="151"/>
  <c r="E52" i="151"/>
  <c r="E53" i="151"/>
  <c r="E54" i="151"/>
  <c r="E55" i="151"/>
  <c r="E56" i="151"/>
  <c r="E57" i="151"/>
  <c r="E58" i="151"/>
  <c r="E59" i="151"/>
  <c r="D20" i="67"/>
  <c r="D38" i="151"/>
  <c r="D39" i="151"/>
  <c r="D40" i="151"/>
  <c r="D41" i="151"/>
  <c r="D42" i="151"/>
  <c r="D43" i="151"/>
  <c r="D44" i="151"/>
  <c r="D45" i="151"/>
  <c r="D46" i="151"/>
  <c r="D47" i="151"/>
  <c r="D48" i="151"/>
  <c r="D49" i="151"/>
  <c r="D50" i="151"/>
  <c r="D51" i="151"/>
  <c r="D52" i="151"/>
  <c r="D53" i="151"/>
  <c r="D54" i="151"/>
  <c r="D55" i="151"/>
  <c r="D56" i="151"/>
  <c r="D57" i="151"/>
  <c r="D58" i="151"/>
  <c r="D59" i="151"/>
  <c r="C20" i="67"/>
  <c r="J38" i="150"/>
  <c r="J39" i="150"/>
  <c r="J40" i="150"/>
  <c r="J41" i="150"/>
  <c r="J42" i="150"/>
  <c r="J43" i="150"/>
  <c r="J44" i="150"/>
  <c r="J45" i="150"/>
  <c r="J46" i="150"/>
  <c r="J47" i="150"/>
  <c r="J48" i="150"/>
  <c r="J49" i="150"/>
  <c r="J50" i="150"/>
  <c r="J51" i="150"/>
  <c r="J52" i="150"/>
  <c r="J53" i="150"/>
  <c r="J54" i="150"/>
  <c r="J55" i="150"/>
  <c r="J56" i="150"/>
  <c r="J57" i="150"/>
  <c r="J58" i="150"/>
  <c r="J59" i="150"/>
  <c r="I19" i="67"/>
  <c r="I38" i="150"/>
  <c r="I39" i="150"/>
  <c r="I40" i="150"/>
  <c r="I41" i="150"/>
  <c r="I42" i="150"/>
  <c r="I43" i="150"/>
  <c r="I44" i="150"/>
  <c r="I45" i="150"/>
  <c r="I46" i="150"/>
  <c r="I47" i="150"/>
  <c r="I48" i="150"/>
  <c r="I49" i="150"/>
  <c r="I50" i="150"/>
  <c r="I51" i="150"/>
  <c r="I52" i="150"/>
  <c r="I53" i="150"/>
  <c r="I54" i="150"/>
  <c r="I55" i="150"/>
  <c r="I56" i="150"/>
  <c r="I57" i="150"/>
  <c r="I58" i="150"/>
  <c r="I59" i="150"/>
  <c r="H19" i="67"/>
  <c r="H14" i="150"/>
  <c r="I14" i="150"/>
  <c r="H38" i="150"/>
  <c r="H15" i="150"/>
  <c r="I15" i="150"/>
  <c r="H39" i="150"/>
  <c r="H16" i="150"/>
  <c r="I16" i="150"/>
  <c r="H40" i="150"/>
  <c r="H17" i="150"/>
  <c r="I17" i="150"/>
  <c r="H41" i="150"/>
  <c r="H18" i="150"/>
  <c r="I18" i="150"/>
  <c r="H42" i="150"/>
  <c r="H19" i="150"/>
  <c r="I19" i="150"/>
  <c r="H43" i="150"/>
  <c r="H20" i="150"/>
  <c r="I20" i="150"/>
  <c r="H44" i="150"/>
  <c r="H21" i="150"/>
  <c r="I21" i="150"/>
  <c r="H45" i="150"/>
  <c r="H22" i="150"/>
  <c r="I22" i="150"/>
  <c r="H46" i="150"/>
  <c r="H23" i="150"/>
  <c r="I23" i="150"/>
  <c r="H47" i="150"/>
  <c r="H24" i="150"/>
  <c r="I24" i="150"/>
  <c r="H48" i="150"/>
  <c r="H25" i="150"/>
  <c r="I25" i="150"/>
  <c r="H49" i="150"/>
  <c r="H26" i="150"/>
  <c r="I26" i="150"/>
  <c r="H50" i="150"/>
  <c r="H27" i="150"/>
  <c r="I27" i="150"/>
  <c r="H51" i="150"/>
  <c r="H28" i="150"/>
  <c r="I28" i="150"/>
  <c r="H52" i="150"/>
  <c r="H29" i="150"/>
  <c r="I29" i="150"/>
  <c r="H53" i="150"/>
  <c r="H30" i="150"/>
  <c r="I30" i="150"/>
  <c r="H54" i="150"/>
  <c r="H31" i="150"/>
  <c r="I31" i="150"/>
  <c r="H55" i="150"/>
  <c r="H32" i="150"/>
  <c r="I32" i="150"/>
  <c r="H56" i="150"/>
  <c r="H33" i="150"/>
  <c r="I33" i="150"/>
  <c r="H57" i="150"/>
  <c r="H34" i="150"/>
  <c r="I34" i="150"/>
  <c r="H58" i="150"/>
  <c r="H59" i="150"/>
  <c r="G19" i="67"/>
  <c r="G38" i="150"/>
  <c r="G39" i="150"/>
  <c r="G40" i="150"/>
  <c r="G41" i="150"/>
  <c r="G42" i="150"/>
  <c r="G43" i="150"/>
  <c r="G44" i="150"/>
  <c r="G45" i="150"/>
  <c r="G46" i="150"/>
  <c r="G47" i="150"/>
  <c r="G48" i="150"/>
  <c r="G49" i="150"/>
  <c r="G50" i="150"/>
  <c r="G51" i="150"/>
  <c r="G52" i="150"/>
  <c r="G53" i="150"/>
  <c r="G54" i="150"/>
  <c r="G55" i="150"/>
  <c r="G56" i="150"/>
  <c r="G57" i="150"/>
  <c r="G58" i="150"/>
  <c r="G59" i="150"/>
  <c r="F19" i="67"/>
  <c r="F38" i="150"/>
  <c r="F39" i="150"/>
  <c r="F40" i="150"/>
  <c r="F41" i="150"/>
  <c r="F42" i="150"/>
  <c r="F43" i="150"/>
  <c r="F44" i="150"/>
  <c r="F45" i="150"/>
  <c r="F46" i="150"/>
  <c r="F47" i="150"/>
  <c r="F48" i="150"/>
  <c r="F49" i="150"/>
  <c r="F50" i="150"/>
  <c r="F51" i="150"/>
  <c r="F52" i="150"/>
  <c r="F53" i="150"/>
  <c r="F54" i="150"/>
  <c r="F55" i="150"/>
  <c r="F56" i="150"/>
  <c r="F57" i="150"/>
  <c r="F58" i="150"/>
  <c r="F59" i="150"/>
  <c r="E19" i="67"/>
  <c r="E38" i="150"/>
  <c r="E39" i="150"/>
  <c r="E40" i="150"/>
  <c r="E41" i="150"/>
  <c r="E42" i="150"/>
  <c r="E43" i="150"/>
  <c r="E44" i="150"/>
  <c r="E45" i="150"/>
  <c r="E46" i="150"/>
  <c r="E47" i="150"/>
  <c r="E48" i="150"/>
  <c r="E49" i="150"/>
  <c r="E50" i="150"/>
  <c r="E51" i="150"/>
  <c r="E52" i="150"/>
  <c r="E53" i="150"/>
  <c r="E54" i="150"/>
  <c r="E55" i="150"/>
  <c r="E56" i="150"/>
  <c r="E57" i="150"/>
  <c r="E58" i="150"/>
  <c r="E59" i="150"/>
  <c r="D19" i="67"/>
  <c r="D38" i="150"/>
  <c r="D39" i="150"/>
  <c r="D40" i="150"/>
  <c r="D41" i="150"/>
  <c r="D42" i="150"/>
  <c r="D43" i="150"/>
  <c r="D44" i="150"/>
  <c r="D45" i="150"/>
  <c r="D46" i="150"/>
  <c r="D47" i="150"/>
  <c r="D48" i="150"/>
  <c r="D49" i="150"/>
  <c r="D50" i="150"/>
  <c r="D51" i="150"/>
  <c r="D52" i="150"/>
  <c r="D53" i="150"/>
  <c r="D54" i="150"/>
  <c r="D55" i="150"/>
  <c r="D56" i="150"/>
  <c r="D57" i="150"/>
  <c r="D58" i="150"/>
  <c r="D59" i="150"/>
  <c r="C19" i="67"/>
  <c r="J38" i="149"/>
  <c r="J39" i="149"/>
  <c r="J40" i="149"/>
  <c r="J41" i="149"/>
  <c r="J42" i="149"/>
  <c r="J43" i="149"/>
  <c r="J44" i="149"/>
  <c r="J45" i="149"/>
  <c r="J46" i="149"/>
  <c r="J47" i="149"/>
  <c r="J48" i="149"/>
  <c r="J49" i="149"/>
  <c r="J50" i="149"/>
  <c r="J51" i="149"/>
  <c r="J52" i="149"/>
  <c r="J53" i="149"/>
  <c r="J54" i="149"/>
  <c r="J55" i="149"/>
  <c r="J56" i="149"/>
  <c r="J57" i="149"/>
  <c r="J58" i="149"/>
  <c r="J59" i="149"/>
  <c r="I18" i="67"/>
  <c r="I38" i="149"/>
  <c r="I39" i="149"/>
  <c r="I40" i="149"/>
  <c r="I41" i="149"/>
  <c r="I42" i="149"/>
  <c r="I43" i="149"/>
  <c r="I44" i="149"/>
  <c r="I45" i="149"/>
  <c r="I46" i="149"/>
  <c r="I47" i="149"/>
  <c r="I48" i="149"/>
  <c r="I49" i="149"/>
  <c r="I50" i="149"/>
  <c r="I51" i="149"/>
  <c r="I52" i="149"/>
  <c r="I53" i="149"/>
  <c r="I54" i="149"/>
  <c r="I55" i="149"/>
  <c r="I56" i="149"/>
  <c r="I57" i="149"/>
  <c r="I58" i="149"/>
  <c r="I59" i="149"/>
  <c r="H18" i="67"/>
  <c r="H14" i="149"/>
  <c r="I14" i="149"/>
  <c r="H38" i="149"/>
  <c r="H15" i="149"/>
  <c r="I15" i="149"/>
  <c r="H39" i="149"/>
  <c r="H16" i="149"/>
  <c r="I16" i="149"/>
  <c r="H40" i="149"/>
  <c r="H17" i="149"/>
  <c r="I17" i="149"/>
  <c r="H41" i="149"/>
  <c r="H18" i="149"/>
  <c r="I18" i="149"/>
  <c r="H42" i="149"/>
  <c r="H19" i="149"/>
  <c r="I19" i="149"/>
  <c r="H43" i="149"/>
  <c r="H20" i="149"/>
  <c r="I20" i="149"/>
  <c r="H44" i="149"/>
  <c r="H21" i="149"/>
  <c r="I21" i="149"/>
  <c r="H45" i="149"/>
  <c r="H22" i="149"/>
  <c r="I22" i="149"/>
  <c r="H46" i="149"/>
  <c r="H23" i="149"/>
  <c r="I23" i="149"/>
  <c r="H47" i="149"/>
  <c r="H24" i="149"/>
  <c r="I24" i="149"/>
  <c r="H48" i="149"/>
  <c r="H25" i="149"/>
  <c r="I25" i="149"/>
  <c r="H49" i="149"/>
  <c r="H26" i="149"/>
  <c r="I26" i="149"/>
  <c r="H50" i="149"/>
  <c r="H27" i="149"/>
  <c r="I27" i="149"/>
  <c r="H51" i="149"/>
  <c r="H28" i="149"/>
  <c r="I28" i="149"/>
  <c r="H52" i="149"/>
  <c r="H29" i="149"/>
  <c r="I29" i="149"/>
  <c r="H53" i="149"/>
  <c r="H30" i="149"/>
  <c r="I30" i="149"/>
  <c r="H54" i="149"/>
  <c r="H31" i="149"/>
  <c r="I31" i="149"/>
  <c r="H55" i="149"/>
  <c r="H32" i="149"/>
  <c r="I32" i="149"/>
  <c r="H56" i="149"/>
  <c r="H33" i="149"/>
  <c r="I33" i="149"/>
  <c r="H57" i="149"/>
  <c r="H34" i="149"/>
  <c r="I34" i="149"/>
  <c r="H58" i="149"/>
  <c r="H59" i="149"/>
  <c r="G18" i="67"/>
  <c r="G38" i="149"/>
  <c r="G39" i="149"/>
  <c r="G40" i="149"/>
  <c r="G41" i="149"/>
  <c r="G42" i="149"/>
  <c r="G43" i="149"/>
  <c r="G44" i="149"/>
  <c r="G45" i="149"/>
  <c r="G46" i="149"/>
  <c r="G47" i="149"/>
  <c r="G48" i="149"/>
  <c r="G49" i="149"/>
  <c r="G50" i="149"/>
  <c r="G51" i="149"/>
  <c r="G52" i="149"/>
  <c r="G53" i="149"/>
  <c r="G54" i="149"/>
  <c r="G55" i="149"/>
  <c r="G56" i="149"/>
  <c r="G57" i="149"/>
  <c r="G58" i="149"/>
  <c r="G59" i="149"/>
  <c r="F18" i="67"/>
  <c r="F38" i="149"/>
  <c r="F39" i="149"/>
  <c r="F40" i="149"/>
  <c r="F41" i="149"/>
  <c r="F42" i="149"/>
  <c r="F43" i="149"/>
  <c r="F44" i="149"/>
  <c r="F45" i="149"/>
  <c r="F46" i="149"/>
  <c r="F47" i="149"/>
  <c r="F48" i="149"/>
  <c r="F49" i="149"/>
  <c r="F50" i="149"/>
  <c r="F51" i="149"/>
  <c r="F52" i="149"/>
  <c r="F53" i="149"/>
  <c r="F54" i="149"/>
  <c r="F55" i="149"/>
  <c r="F56" i="149"/>
  <c r="F57" i="149"/>
  <c r="F58" i="149"/>
  <c r="F59" i="149"/>
  <c r="E18" i="67"/>
  <c r="E38" i="149"/>
  <c r="E39" i="149"/>
  <c r="E40" i="149"/>
  <c r="E41" i="149"/>
  <c r="E42" i="149"/>
  <c r="E43" i="149"/>
  <c r="E44" i="149"/>
  <c r="E45" i="149"/>
  <c r="E46" i="149"/>
  <c r="E47" i="149"/>
  <c r="E48" i="149"/>
  <c r="E49" i="149"/>
  <c r="E50" i="149"/>
  <c r="E51" i="149"/>
  <c r="E52" i="149"/>
  <c r="E53" i="149"/>
  <c r="E54" i="149"/>
  <c r="E55" i="149"/>
  <c r="E56" i="149"/>
  <c r="E57" i="149"/>
  <c r="E58" i="149"/>
  <c r="E59" i="149"/>
  <c r="D18" i="67"/>
  <c r="D38" i="149"/>
  <c r="D39" i="149"/>
  <c r="D40" i="149"/>
  <c r="D41" i="149"/>
  <c r="D42" i="149"/>
  <c r="D43" i="149"/>
  <c r="D44" i="149"/>
  <c r="D45" i="149"/>
  <c r="D46" i="149"/>
  <c r="D47" i="149"/>
  <c r="D48" i="149"/>
  <c r="D49" i="149"/>
  <c r="D50" i="149"/>
  <c r="D51" i="149"/>
  <c r="D52" i="149"/>
  <c r="D53" i="149"/>
  <c r="D54" i="149"/>
  <c r="D55" i="149"/>
  <c r="D56" i="149"/>
  <c r="D57" i="149"/>
  <c r="D58" i="149"/>
  <c r="D59" i="149"/>
  <c r="C18" i="67"/>
  <c r="J38" i="148"/>
  <c r="J39" i="148"/>
  <c r="J40" i="148"/>
  <c r="J41" i="148"/>
  <c r="J42" i="148"/>
  <c r="J43" i="148"/>
  <c r="J44" i="148"/>
  <c r="J45" i="148"/>
  <c r="J46" i="148"/>
  <c r="J47" i="148"/>
  <c r="J48" i="148"/>
  <c r="J49" i="148"/>
  <c r="J50" i="148"/>
  <c r="J51" i="148"/>
  <c r="J52" i="148"/>
  <c r="J53" i="148"/>
  <c r="J54" i="148"/>
  <c r="J55" i="148"/>
  <c r="J56" i="148"/>
  <c r="J57" i="148"/>
  <c r="J58" i="148"/>
  <c r="J59" i="148"/>
  <c r="I17" i="67"/>
  <c r="I38" i="148"/>
  <c r="I39" i="148"/>
  <c r="I40" i="148"/>
  <c r="I41" i="148"/>
  <c r="I42" i="148"/>
  <c r="I43" i="148"/>
  <c r="I44" i="148"/>
  <c r="I45" i="148"/>
  <c r="I46" i="148"/>
  <c r="I47" i="148"/>
  <c r="I48" i="148"/>
  <c r="I49" i="148"/>
  <c r="I50" i="148"/>
  <c r="I51" i="148"/>
  <c r="I52" i="148"/>
  <c r="I53" i="148"/>
  <c r="I54" i="148"/>
  <c r="I55" i="148"/>
  <c r="I56" i="148"/>
  <c r="I57" i="148"/>
  <c r="I58" i="148"/>
  <c r="I59" i="148"/>
  <c r="H17" i="67"/>
  <c r="H14" i="148"/>
  <c r="I14" i="148"/>
  <c r="H38" i="148"/>
  <c r="H15" i="148"/>
  <c r="I15" i="148"/>
  <c r="H39" i="148"/>
  <c r="H16" i="148"/>
  <c r="I16" i="148"/>
  <c r="H40" i="148"/>
  <c r="H17" i="148"/>
  <c r="I17" i="148"/>
  <c r="H41" i="148"/>
  <c r="H18" i="148"/>
  <c r="I18" i="148"/>
  <c r="H42" i="148"/>
  <c r="H19" i="148"/>
  <c r="I19" i="148"/>
  <c r="H43" i="148"/>
  <c r="H20" i="148"/>
  <c r="I20" i="148"/>
  <c r="H44" i="148"/>
  <c r="H21" i="148"/>
  <c r="I21" i="148"/>
  <c r="H45" i="148"/>
  <c r="H22" i="148"/>
  <c r="I22" i="148"/>
  <c r="H46" i="148"/>
  <c r="H23" i="148"/>
  <c r="I23" i="148"/>
  <c r="H47" i="148"/>
  <c r="H24" i="148"/>
  <c r="I24" i="148"/>
  <c r="H48" i="148"/>
  <c r="H25" i="148"/>
  <c r="I25" i="148"/>
  <c r="H49" i="148"/>
  <c r="H26" i="148"/>
  <c r="I26" i="148"/>
  <c r="H50" i="148"/>
  <c r="H27" i="148"/>
  <c r="I27" i="148"/>
  <c r="H51" i="148"/>
  <c r="H28" i="148"/>
  <c r="I28" i="148"/>
  <c r="H52" i="148"/>
  <c r="H29" i="148"/>
  <c r="I29" i="148"/>
  <c r="H53" i="148"/>
  <c r="H30" i="148"/>
  <c r="I30" i="148"/>
  <c r="H54" i="148"/>
  <c r="H31" i="148"/>
  <c r="I31" i="148"/>
  <c r="H55" i="148"/>
  <c r="H32" i="148"/>
  <c r="I32" i="148"/>
  <c r="H56" i="148"/>
  <c r="H33" i="148"/>
  <c r="I33" i="148"/>
  <c r="H57" i="148"/>
  <c r="H34" i="148"/>
  <c r="I34" i="148"/>
  <c r="H58" i="148"/>
  <c r="H59" i="148"/>
  <c r="G17" i="67"/>
  <c r="G38" i="148"/>
  <c r="G39" i="148"/>
  <c r="G40" i="148"/>
  <c r="G41" i="148"/>
  <c r="G42" i="148"/>
  <c r="G43" i="148"/>
  <c r="G44" i="148"/>
  <c r="G45" i="148"/>
  <c r="G46" i="148"/>
  <c r="G47" i="148"/>
  <c r="G48" i="148"/>
  <c r="G49" i="148"/>
  <c r="G50" i="148"/>
  <c r="G51" i="148"/>
  <c r="G52" i="148"/>
  <c r="G53" i="148"/>
  <c r="G54" i="148"/>
  <c r="G55" i="148"/>
  <c r="G56" i="148"/>
  <c r="G57" i="148"/>
  <c r="G58" i="148"/>
  <c r="G59" i="148"/>
  <c r="F17" i="67"/>
  <c r="F38" i="148"/>
  <c r="F39" i="148"/>
  <c r="F40" i="148"/>
  <c r="F41" i="148"/>
  <c r="F42" i="148"/>
  <c r="F43" i="148"/>
  <c r="F44" i="148"/>
  <c r="F45" i="148"/>
  <c r="F46" i="148"/>
  <c r="F47" i="148"/>
  <c r="F48" i="148"/>
  <c r="F49" i="148"/>
  <c r="F50" i="148"/>
  <c r="F51" i="148"/>
  <c r="F52" i="148"/>
  <c r="F53" i="148"/>
  <c r="F54" i="148"/>
  <c r="F55" i="148"/>
  <c r="F56" i="148"/>
  <c r="F57" i="148"/>
  <c r="F58" i="148"/>
  <c r="F59" i="148"/>
  <c r="E17" i="67"/>
  <c r="E38" i="148"/>
  <c r="E39" i="148"/>
  <c r="E40" i="148"/>
  <c r="E41" i="148"/>
  <c r="E42" i="148"/>
  <c r="E43" i="148"/>
  <c r="E44" i="148"/>
  <c r="E45" i="148"/>
  <c r="E46" i="148"/>
  <c r="E47" i="148"/>
  <c r="E48" i="148"/>
  <c r="E49" i="148"/>
  <c r="E50" i="148"/>
  <c r="E51" i="148"/>
  <c r="E52" i="148"/>
  <c r="E53" i="148"/>
  <c r="E54" i="148"/>
  <c r="E55" i="148"/>
  <c r="E56" i="148"/>
  <c r="E57" i="148"/>
  <c r="E58" i="148"/>
  <c r="E59" i="148"/>
  <c r="D17" i="67"/>
  <c r="D38" i="148"/>
  <c r="D39" i="148"/>
  <c r="D40" i="148"/>
  <c r="D41" i="148"/>
  <c r="D42" i="148"/>
  <c r="D43" i="148"/>
  <c r="D44" i="148"/>
  <c r="D45" i="148"/>
  <c r="D46" i="148"/>
  <c r="D47" i="148"/>
  <c r="D48" i="148"/>
  <c r="D49" i="148"/>
  <c r="D50" i="148"/>
  <c r="D51" i="148"/>
  <c r="D52" i="148"/>
  <c r="D53" i="148"/>
  <c r="D54" i="148"/>
  <c r="D55" i="148"/>
  <c r="D56" i="148"/>
  <c r="D57" i="148"/>
  <c r="D58" i="148"/>
  <c r="D59" i="148"/>
  <c r="C17" i="67"/>
  <c r="J38" i="147"/>
  <c r="J39" i="147"/>
  <c r="J40" i="147"/>
  <c r="J41" i="147"/>
  <c r="J42" i="147"/>
  <c r="J43" i="147"/>
  <c r="J44" i="147"/>
  <c r="J45" i="147"/>
  <c r="J46" i="147"/>
  <c r="J47" i="147"/>
  <c r="J48" i="147"/>
  <c r="J49" i="147"/>
  <c r="J50" i="147"/>
  <c r="J51" i="147"/>
  <c r="J52" i="147"/>
  <c r="J53" i="147"/>
  <c r="J54" i="147"/>
  <c r="J55" i="147"/>
  <c r="J56" i="147"/>
  <c r="J57" i="147"/>
  <c r="J58" i="147"/>
  <c r="J59" i="147"/>
  <c r="I16" i="67"/>
  <c r="I38" i="147"/>
  <c r="I39" i="147"/>
  <c r="I40" i="147"/>
  <c r="I41" i="147"/>
  <c r="I42" i="147"/>
  <c r="I43" i="147"/>
  <c r="I44" i="147"/>
  <c r="I45" i="147"/>
  <c r="I46" i="147"/>
  <c r="I47" i="147"/>
  <c r="I48" i="147"/>
  <c r="I49" i="147"/>
  <c r="I50" i="147"/>
  <c r="I51" i="147"/>
  <c r="I52" i="147"/>
  <c r="I53" i="147"/>
  <c r="I54" i="147"/>
  <c r="I55" i="147"/>
  <c r="I56" i="147"/>
  <c r="I57" i="147"/>
  <c r="I58" i="147"/>
  <c r="I59" i="147"/>
  <c r="H16" i="67"/>
  <c r="H14" i="147"/>
  <c r="I14" i="147"/>
  <c r="H38" i="147"/>
  <c r="H15" i="147"/>
  <c r="I15" i="147"/>
  <c r="H39" i="147"/>
  <c r="H16" i="147"/>
  <c r="I16" i="147"/>
  <c r="H40" i="147"/>
  <c r="H17" i="147"/>
  <c r="I17" i="147"/>
  <c r="H41" i="147"/>
  <c r="H18" i="147"/>
  <c r="I18" i="147"/>
  <c r="H42" i="147"/>
  <c r="H19" i="147"/>
  <c r="I19" i="147"/>
  <c r="H43" i="147"/>
  <c r="H20" i="147"/>
  <c r="I20" i="147"/>
  <c r="H44" i="147"/>
  <c r="H21" i="147"/>
  <c r="I21" i="147"/>
  <c r="H45" i="147"/>
  <c r="H22" i="147"/>
  <c r="I22" i="147"/>
  <c r="H46" i="147"/>
  <c r="H23" i="147"/>
  <c r="I23" i="147"/>
  <c r="H47" i="147"/>
  <c r="H24" i="147"/>
  <c r="I24" i="147"/>
  <c r="H48" i="147"/>
  <c r="H25" i="147"/>
  <c r="I25" i="147"/>
  <c r="H49" i="147"/>
  <c r="H26" i="147"/>
  <c r="I26" i="147"/>
  <c r="H50" i="147"/>
  <c r="H27" i="147"/>
  <c r="I27" i="147"/>
  <c r="H51" i="147"/>
  <c r="H28" i="147"/>
  <c r="I28" i="147"/>
  <c r="H52" i="147"/>
  <c r="H29" i="147"/>
  <c r="I29" i="147"/>
  <c r="H53" i="147"/>
  <c r="H30" i="147"/>
  <c r="I30" i="147"/>
  <c r="H54" i="147"/>
  <c r="H31" i="147"/>
  <c r="I31" i="147"/>
  <c r="H55" i="147"/>
  <c r="H32" i="147"/>
  <c r="I32" i="147"/>
  <c r="H56" i="147"/>
  <c r="H33" i="147"/>
  <c r="I33" i="147"/>
  <c r="H57" i="147"/>
  <c r="H34" i="147"/>
  <c r="I34" i="147"/>
  <c r="H58" i="147"/>
  <c r="H59" i="147"/>
  <c r="G16" i="67"/>
  <c r="G38" i="147"/>
  <c r="G39" i="147"/>
  <c r="G40" i="147"/>
  <c r="G41" i="147"/>
  <c r="G42" i="147"/>
  <c r="G43" i="147"/>
  <c r="G44" i="147"/>
  <c r="G45" i="147"/>
  <c r="G46" i="147"/>
  <c r="G47" i="147"/>
  <c r="G48" i="147"/>
  <c r="G49" i="147"/>
  <c r="G50" i="147"/>
  <c r="G51" i="147"/>
  <c r="G52" i="147"/>
  <c r="G53" i="147"/>
  <c r="G54" i="147"/>
  <c r="G55" i="147"/>
  <c r="G56" i="147"/>
  <c r="G57" i="147"/>
  <c r="G58" i="147"/>
  <c r="G59" i="147"/>
  <c r="F16" i="67"/>
  <c r="F38" i="147"/>
  <c r="F39" i="147"/>
  <c r="F40" i="147"/>
  <c r="F41" i="147"/>
  <c r="F42" i="147"/>
  <c r="F43" i="147"/>
  <c r="F44" i="147"/>
  <c r="F45" i="147"/>
  <c r="F46" i="147"/>
  <c r="F47" i="147"/>
  <c r="F48" i="147"/>
  <c r="F49" i="147"/>
  <c r="F50" i="147"/>
  <c r="F51" i="147"/>
  <c r="F52" i="147"/>
  <c r="F53" i="147"/>
  <c r="F54" i="147"/>
  <c r="F55" i="147"/>
  <c r="F56" i="147"/>
  <c r="F57" i="147"/>
  <c r="F58" i="147"/>
  <c r="F59" i="147"/>
  <c r="E16" i="67"/>
  <c r="E38" i="147"/>
  <c r="E39" i="147"/>
  <c r="E40" i="147"/>
  <c r="E41" i="147"/>
  <c r="E42" i="147"/>
  <c r="E43" i="147"/>
  <c r="E44" i="147"/>
  <c r="E45" i="147"/>
  <c r="E46" i="147"/>
  <c r="E47" i="147"/>
  <c r="E48" i="147"/>
  <c r="E49" i="147"/>
  <c r="E50" i="147"/>
  <c r="E51" i="147"/>
  <c r="E52" i="147"/>
  <c r="E53" i="147"/>
  <c r="E54" i="147"/>
  <c r="E55" i="147"/>
  <c r="E56" i="147"/>
  <c r="E57" i="147"/>
  <c r="E58" i="147"/>
  <c r="E59" i="147"/>
  <c r="D16" i="67"/>
  <c r="D38" i="147"/>
  <c r="D39" i="147"/>
  <c r="D40" i="147"/>
  <c r="D41" i="147"/>
  <c r="D42" i="147"/>
  <c r="D43" i="147"/>
  <c r="D44" i="147"/>
  <c r="D45" i="147"/>
  <c r="D46" i="147"/>
  <c r="D47" i="147"/>
  <c r="D48" i="147"/>
  <c r="D49" i="147"/>
  <c r="D50" i="147"/>
  <c r="D51" i="147"/>
  <c r="D52" i="147"/>
  <c r="D53" i="147"/>
  <c r="D54" i="147"/>
  <c r="D55" i="147"/>
  <c r="D56" i="147"/>
  <c r="D57" i="147"/>
  <c r="D58" i="147"/>
  <c r="D59" i="147"/>
  <c r="C16" i="67"/>
  <c r="J38" i="146"/>
  <c r="J39" i="146"/>
  <c r="J40" i="146"/>
  <c r="J41" i="146"/>
  <c r="J42" i="146"/>
  <c r="J43" i="146"/>
  <c r="J44" i="146"/>
  <c r="J45" i="146"/>
  <c r="J46" i="146"/>
  <c r="J47" i="146"/>
  <c r="J48" i="146"/>
  <c r="J49" i="146"/>
  <c r="J50" i="146"/>
  <c r="J51" i="146"/>
  <c r="J52" i="146"/>
  <c r="J53" i="146"/>
  <c r="J54" i="146"/>
  <c r="J55" i="146"/>
  <c r="J56" i="146"/>
  <c r="J57" i="146"/>
  <c r="J58" i="146"/>
  <c r="J59" i="146"/>
  <c r="I15" i="67"/>
  <c r="I38" i="146"/>
  <c r="I39" i="146"/>
  <c r="I40" i="146"/>
  <c r="I41" i="146"/>
  <c r="I42" i="146"/>
  <c r="I43" i="146"/>
  <c r="I44" i="146"/>
  <c r="I45" i="146"/>
  <c r="I46" i="146"/>
  <c r="I47" i="146"/>
  <c r="I48" i="146"/>
  <c r="I49" i="146"/>
  <c r="I50" i="146"/>
  <c r="I51" i="146"/>
  <c r="I52" i="146"/>
  <c r="I53" i="146"/>
  <c r="I54" i="146"/>
  <c r="I55" i="146"/>
  <c r="I56" i="146"/>
  <c r="I57" i="146"/>
  <c r="I58" i="146"/>
  <c r="I59" i="146"/>
  <c r="H15" i="67"/>
  <c r="H14" i="146"/>
  <c r="I14" i="146"/>
  <c r="H38" i="146"/>
  <c r="H15" i="146"/>
  <c r="I15" i="146"/>
  <c r="H39" i="146"/>
  <c r="H16" i="146"/>
  <c r="I16" i="146"/>
  <c r="H40" i="146"/>
  <c r="H17" i="146"/>
  <c r="I17" i="146"/>
  <c r="H41" i="146"/>
  <c r="H18" i="146"/>
  <c r="I18" i="146"/>
  <c r="H42" i="146"/>
  <c r="H19" i="146"/>
  <c r="I19" i="146"/>
  <c r="H43" i="146"/>
  <c r="H20" i="146"/>
  <c r="I20" i="146"/>
  <c r="H44" i="146"/>
  <c r="H21" i="146"/>
  <c r="I21" i="146"/>
  <c r="H45" i="146"/>
  <c r="H22" i="146"/>
  <c r="I22" i="146"/>
  <c r="H46" i="146"/>
  <c r="H23" i="146"/>
  <c r="I23" i="146"/>
  <c r="H47" i="146"/>
  <c r="H24" i="146"/>
  <c r="I24" i="146"/>
  <c r="H48" i="146"/>
  <c r="H25" i="146"/>
  <c r="I25" i="146"/>
  <c r="H49" i="146"/>
  <c r="H26" i="146"/>
  <c r="I26" i="146"/>
  <c r="H50" i="146"/>
  <c r="H27" i="146"/>
  <c r="I27" i="146"/>
  <c r="H51" i="146"/>
  <c r="H28" i="146"/>
  <c r="I28" i="146"/>
  <c r="H52" i="146"/>
  <c r="H29" i="146"/>
  <c r="I29" i="146"/>
  <c r="H53" i="146"/>
  <c r="H30" i="146"/>
  <c r="I30" i="146"/>
  <c r="H54" i="146"/>
  <c r="H31" i="146"/>
  <c r="I31" i="146"/>
  <c r="H55" i="146"/>
  <c r="H32" i="146"/>
  <c r="I32" i="146"/>
  <c r="H56" i="146"/>
  <c r="H33" i="146"/>
  <c r="I33" i="146"/>
  <c r="H57" i="146"/>
  <c r="H34" i="146"/>
  <c r="I34" i="146"/>
  <c r="H58" i="146"/>
  <c r="H59" i="146"/>
  <c r="G15" i="67"/>
  <c r="G38" i="146"/>
  <c r="G39" i="146"/>
  <c r="G40" i="146"/>
  <c r="G41" i="146"/>
  <c r="G42" i="146"/>
  <c r="G43" i="146"/>
  <c r="G44" i="146"/>
  <c r="G45" i="146"/>
  <c r="G46" i="146"/>
  <c r="G47" i="146"/>
  <c r="G48" i="146"/>
  <c r="G49" i="146"/>
  <c r="G50" i="146"/>
  <c r="G51" i="146"/>
  <c r="G52" i="146"/>
  <c r="G53" i="146"/>
  <c r="G54" i="146"/>
  <c r="G55" i="146"/>
  <c r="G56" i="146"/>
  <c r="G57" i="146"/>
  <c r="G58" i="146"/>
  <c r="G59" i="146"/>
  <c r="F15" i="67"/>
  <c r="F38" i="146"/>
  <c r="F39" i="146"/>
  <c r="F40" i="146"/>
  <c r="F41" i="146"/>
  <c r="F42" i="146"/>
  <c r="F43" i="146"/>
  <c r="F44" i="146"/>
  <c r="F45" i="146"/>
  <c r="F46" i="146"/>
  <c r="F47" i="146"/>
  <c r="F48" i="146"/>
  <c r="F49" i="146"/>
  <c r="F50" i="146"/>
  <c r="F51" i="146"/>
  <c r="F52" i="146"/>
  <c r="F53" i="146"/>
  <c r="F54" i="146"/>
  <c r="F55" i="146"/>
  <c r="F56" i="146"/>
  <c r="F57" i="146"/>
  <c r="F58" i="146"/>
  <c r="F59" i="146"/>
  <c r="E15" i="67"/>
  <c r="E38" i="146"/>
  <c r="E39" i="146"/>
  <c r="E40" i="146"/>
  <c r="E41" i="146"/>
  <c r="E42" i="146"/>
  <c r="E43" i="146"/>
  <c r="E44" i="146"/>
  <c r="E45" i="146"/>
  <c r="E46" i="146"/>
  <c r="E47" i="146"/>
  <c r="E48" i="146"/>
  <c r="E49" i="146"/>
  <c r="E50" i="146"/>
  <c r="E51" i="146"/>
  <c r="E52" i="146"/>
  <c r="E53" i="146"/>
  <c r="E54" i="146"/>
  <c r="E55" i="146"/>
  <c r="E56" i="146"/>
  <c r="E57" i="146"/>
  <c r="E58" i="146"/>
  <c r="E59" i="146"/>
  <c r="D15" i="67"/>
  <c r="D38" i="146"/>
  <c r="D39" i="146"/>
  <c r="D40" i="146"/>
  <c r="D41" i="146"/>
  <c r="D42" i="146"/>
  <c r="D43" i="146"/>
  <c r="D44" i="146"/>
  <c r="D45" i="146"/>
  <c r="D46" i="146"/>
  <c r="D47" i="146"/>
  <c r="D48" i="146"/>
  <c r="D49" i="146"/>
  <c r="D50" i="146"/>
  <c r="D51" i="146"/>
  <c r="D52" i="146"/>
  <c r="D53" i="146"/>
  <c r="D54" i="146"/>
  <c r="D55" i="146"/>
  <c r="D56" i="146"/>
  <c r="D57" i="146"/>
  <c r="D58" i="146"/>
  <c r="D59" i="146"/>
  <c r="C15" i="67"/>
  <c r="J38" i="145"/>
  <c r="J39" i="145"/>
  <c r="J40" i="145"/>
  <c r="J41" i="145"/>
  <c r="J42" i="145"/>
  <c r="J43" i="145"/>
  <c r="J44" i="145"/>
  <c r="J45" i="145"/>
  <c r="J46" i="145"/>
  <c r="J47" i="145"/>
  <c r="J48" i="145"/>
  <c r="J49" i="145"/>
  <c r="J50" i="145"/>
  <c r="J51" i="145"/>
  <c r="J52" i="145"/>
  <c r="J53" i="145"/>
  <c r="J54" i="145"/>
  <c r="J55" i="145"/>
  <c r="J56" i="145"/>
  <c r="J57" i="145"/>
  <c r="J58" i="145"/>
  <c r="J59" i="145"/>
  <c r="I14" i="67"/>
  <c r="I38" i="145"/>
  <c r="I39" i="145"/>
  <c r="I40" i="145"/>
  <c r="I41" i="145"/>
  <c r="I42" i="145"/>
  <c r="I43" i="145"/>
  <c r="I44" i="145"/>
  <c r="I45" i="145"/>
  <c r="I46" i="145"/>
  <c r="I47" i="145"/>
  <c r="I48" i="145"/>
  <c r="I49" i="145"/>
  <c r="I50" i="145"/>
  <c r="I51" i="145"/>
  <c r="I52" i="145"/>
  <c r="I53" i="145"/>
  <c r="I54" i="145"/>
  <c r="I55" i="145"/>
  <c r="I56" i="145"/>
  <c r="I57" i="145"/>
  <c r="I58" i="145"/>
  <c r="I59" i="145"/>
  <c r="H14" i="67"/>
  <c r="H14" i="145"/>
  <c r="I14" i="145"/>
  <c r="H38" i="145"/>
  <c r="H15" i="145"/>
  <c r="I15" i="145"/>
  <c r="H39" i="145"/>
  <c r="H16" i="145"/>
  <c r="I16" i="145"/>
  <c r="H40" i="145"/>
  <c r="H17" i="145"/>
  <c r="I17" i="145"/>
  <c r="H41" i="145"/>
  <c r="H18" i="145"/>
  <c r="I18" i="145"/>
  <c r="H42" i="145"/>
  <c r="H19" i="145"/>
  <c r="I19" i="145"/>
  <c r="H43" i="145"/>
  <c r="H20" i="145"/>
  <c r="I20" i="145"/>
  <c r="H44" i="145"/>
  <c r="H21" i="145"/>
  <c r="I21" i="145"/>
  <c r="H45" i="145"/>
  <c r="H22" i="145"/>
  <c r="I22" i="145"/>
  <c r="H46" i="145"/>
  <c r="H23" i="145"/>
  <c r="I23" i="145"/>
  <c r="H47" i="145"/>
  <c r="H24" i="145"/>
  <c r="I24" i="145"/>
  <c r="H48" i="145"/>
  <c r="H25" i="145"/>
  <c r="I25" i="145"/>
  <c r="H49" i="145"/>
  <c r="H26" i="145"/>
  <c r="I26" i="145"/>
  <c r="H50" i="145"/>
  <c r="H27" i="145"/>
  <c r="I27" i="145"/>
  <c r="H51" i="145"/>
  <c r="H28" i="145"/>
  <c r="I28" i="145"/>
  <c r="H52" i="145"/>
  <c r="H29" i="145"/>
  <c r="I29" i="145"/>
  <c r="H53" i="145"/>
  <c r="H30" i="145"/>
  <c r="I30" i="145"/>
  <c r="H54" i="145"/>
  <c r="H31" i="145"/>
  <c r="I31" i="145"/>
  <c r="H55" i="145"/>
  <c r="H32" i="145"/>
  <c r="I32" i="145"/>
  <c r="H56" i="145"/>
  <c r="H33" i="145"/>
  <c r="I33" i="145"/>
  <c r="H57" i="145"/>
  <c r="H34" i="145"/>
  <c r="I34" i="145"/>
  <c r="H58" i="145"/>
  <c r="H59" i="145"/>
  <c r="G14" i="67"/>
  <c r="G38" i="145"/>
  <c r="G39" i="145"/>
  <c r="G40" i="145"/>
  <c r="G41" i="145"/>
  <c r="G42" i="145"/>
  <c r="G43" i="145"/>
  <c r="G44" i="145"/>
  <c r="G45" i="145"/>
  <c r="G46" i="145"/>
  <c r="G47" i="145"/>
  <c r="G48" i="145"/>
  <c r="G49" i="145"/>
  <c r="G50" i="145"/>
  <c r="G51" i="145"/>
  <c r="G52" i="145"/>
  <c r="G53" i="145"/>
  <c r="G54" i="145"/>
  <c r="G55" i="145"/>
  <c r="G56" i="145"/>
  <c r="G57" i="145"/>
  <c r="G58" i="145"/>
  <c r="G59" i="145"/>
  <c r="F14" i="67"/>
  <c r="F38" i="145"/>
  <c r="F39" i="145"/>
  <c r="F40" i="145"/>
  <c r="F41" i="145"/>
  <c r="F42" i="145"/>
  <c r="F43" i="145"/>
  <c r="F44" i="145"/>
  <c r="F45" i="145"/>
  <c r="F46" i="145"/>
  <c r="F47" i="145"/>
  <c r="F48" i="145"/>
  <c r="F49" i="145"/>
  <c r="F50" i="145"/>
  <c r="F51" i="145"/>
  <c r="F52" i="145"/>
  <c r="F53" i="145"/>
  <c r="F54" i="145"/>
  <c r="F55" i="145"/>
  <c r="F56" i="145"/>
  <c r="F57" i="145"/>
  <c r="F58" i="145"/>
  <c r="F59" i="145"/>
  <c r="E14" i="67"/>
  <c r="E38" i="145"/>
  <c r="E39" i="145"/>
  <c r="E40" i="145"/>
  <c r="E41" i="145"/>
  <c r="E42" i="145"/>
  <c r="E43" i="145"/>
  <c r="E44" i="145"/>
  <c r="E45" i="145"/>
  <c r="E46" i="145"/>
  <c r="E47" i="145"/>
  <c r="E48" i="145"/>
  <c r="E49" i="145"/>
  <c r="E50" i="145"/>
  <c r="E51" i="145"/>
  <c r="E52" i="145"/>
  <c r="E53" i="145"/>
  <c r="E54" i="145"/>
  <c r="E55" i="145"/>
  <c r="E56" i="145"/>
  <c r="E57" i="145"/>
  <c r="E58" i="145"/>
  <c r="E59" i="145"/>
  <c r="D14" i="67"/>
  <c r="D38" i="145"/>
  <c r="D39" i="145"/>
  <c r="D40" i="145"/>
  <c r="D41" i="145"/>
  <c r="D42" i="145"/>
  <c r="D43" i="145"/>
  <c r="D44" i="145"/>
  <c r="D45" i="145"/>
  <c r="D46" i="145"/>
  <c r="D47" i="145"/>
  <c r="D48" i="145"/>
  <c r="D49" i="145"/>
  <c r="D50" i="145"/>
  <c r="D51" i="145"/>
  <c r="D52" i="145"/>
  <c r="D53" i="145"/>
  <c r="D54" i="145"/>
  <c r="D55" i="145"/>
  <c r="D56" i="145"/>
  <c r="D57" i="145"/>
  <c r="D58" i="145"/>
  <c r="D59" i="145"/>
  <c r="C14" i="67"/>
  <c r="J38" i="144"/>
  <c r="J39" i="144"/>
  <c r="J40" i="144"/>
  <c r="J41" i="144"/>
  <c r="J42" i="144"/>
  <c r="J43" i="144"/>
  <c r="J44" i="144"/>
  <c r="J45" i="144"/>
  <c r="J46" i="144"/>
  <c r="J47" i="144"/>
  <c r="J48" i="144"/>
  <c r="J49" i="144"/>
  <c r="J50" i="144"/>
  <c r="J51" i="144"/>
  <c r="J52" i="144"/>
  <c r="J53" i="144"/>
  <c r="J54" i="144"/>
  <c r="J55" i="144"/>
  <c r="J56" i="144"/>
  <c r="J57" i="144"/>
  <c r="J58" i="144"/>
  <c r="J59" i="144"/>
  <c r="I13" i="67"/>
  <c r="I38" i="144"/>
  <c r="I39" i="144"/>
  <c r="I40" i="144"/>
  <c r="I41" i="144"/>
  <c r="I42" i="144"/>
  <c r="I43" i="144"/>
  <c r="I44" i="144"/>
  <c r="I45" i="144"/>
  <c r="I46" i="144"/>
  <c r="I47" i="144"/>
  <c r="I48" i="144"/>
  <c r="I49" i="144"/>
  <c r="I50" i="144"/>
  <c r="I51" i="144"/>
  <c r="I52" i="144"/>
  <c r="I53" i="144"/>
  <c r="I54" i="144"/>
  <c r="I55" i="144"/>
  <c r="I56" i="144"/>
  <c r="I57" i="144"/>
  <c r="I58" i="144"/>
  <c r="I59" i="144"/>
  <c r="H13" i="67"/>
  <c r="H14" i="144"/>
  <c r="I14" i="144"/>
  <c r="H38" i="144"/>
  <c r="H15" i="144"/>
  <c r="I15" i="144"/>
  <c r="H39" i="144"/>
  <c r="H16" i="144"/>
  <c r="I16" i="144"/>
  <c r="H40" i="144"/>
  <c r="H17" i="144"/>
  <c r="I17" i="144"/>
  <c r="H41" i="144"/>
  <c r="H18" i="144"/>
  <c r="I18" i="144"/>
  <c r="H42" i="144"/>
  <c r="H19" i="144"/>
  <c r="I19" i="144"/>
  <c r="H43" i="144"/>
  <c r="H20" i="144"/>
  <c r="I20" i="144"/>
  <c r="H44" i="144"/>
  <c r="H21" i="144"/>
  <c r="I21" i="144"/>
  <c r="H45" i="144"/>
  <c r="H22" i="144"/>
  <c r="I22" i="144"/>
  <c r="H46" i="144"/>
  <c r="H23" i="144"/>
  <c r="I23" i="144"/>
  <c r="H47" i="144"/>
  <c r="H24" i="144"/>
  <c r="I24" i="144"/>
  <c r="H48" i="144"/>
  <c r="H25" i="144"/>
  <c r="I25" i="144"/>
  <c r="H49" i="144"/>
  <c r="H26" i="144"/>
  <c r="I26" i="144"/>
  <c r="H50" i="144"/>
  <c r="H27" i="144"/>
  <c r="I27" i="144"/>
  <c r="H51" i="144"/>
  <c r="H28" i="144"/>
  <c r="I28" i="144"/>
  <c r="H52" i="144"/>
  <c r="H29" i="144"/>
  <c r="I29" i="144"/>
  <c r="H53" i="144"/>
  <c r="H30" i="144"/>
  <c r="I30" i="144"/>
  <c r="H54" i="144"/>
  <c r="H31" i="144"/>
  <c r="I31" i="144"/>
  <c r="H55" i="144"/>
  <c r="H32" i="144"/>
  <c r="I32" i="144"/>
  <c r="H56" i="144"/>
  <c r="H33" i="144"/>
  <c r="I33" i="144"/>
  <c r="H57" i="144"/>
  <c r="H34" i="144"/>
  <c r="I34" i="144"/>
  <c r="H58" i="144"/>
  <c r="H59" i="144"/>
  <c r="G13" i="67"/>
  <c r="G38" i="144"/>
  <c r="G39" i="144"/>
  <c r="G40" i="144"/>
  <c r="G41" i="144"/>
  <c r="G42" i="144"/>
  <c r="G43" i="144"/>
  <c r="G44" i="144"/>
  <c r="G45" i="144"/>
  <c r="G46" i="144"/>
  <c r="G47" i="144"/>
  <c r="G48" i="144"/>
  <c r="G49" i="144"/>
  <c r="G50" i="144"/>
  <c r="G51" i="144"/>
  <c r="G52" i="144"/>
  <c r="G53" i="144"/>
  <c r="G54" i="144"/>
  <c r="G55" i="144"/>
  <c r="G56" i="144"/>
  <c r="G57" i="144"/>
  <c r="G58" i="144"/>
  <c r="G59" i="144"/>
  <c r="F13" i="67"/>
  <c r="F38" i="144"/>
  <c r="F39" i="144"/>
  <c r="F40" i="144"/>
  <c r="F41" i="144"/>
  <c r="F42" i="144"/>
  <c r="F43" i="144"/>
  <c r="F44" i="144"/>
  <c r="F45" i="144"/>
  <c r="F46" i="144"/>
  <c r="F47" i="144"/>
  <c r="F48" i="144"/>
  <c r="F49" i="144"/>
  <c r="F50" i="144"/>
  <c r="F51" i="144"/>
  <c r="F52" i="144"/>
  <c r="F53" i="144"/>
  <c r="F54" i="144"/>
  <c r="F55" i="144"/>
  <c r="F56" i="144"/>
  <c r="F57" i="144"/>
  <c r="F58" i="144"/>
  <c r="F59" i="144"/>
  <c r="E13" i="67"/>
  <c r="E38" i="144"/>
  <c r="E39" i="144"/>
  <c r="E40" i="144"/>
  <c r="E41" i="144"/>
  <c r="E42" i="144"/>
  <c r="E43" i="144"/>
  <c r="E44" i="144"/>
  <c r="E45" i="144"/>
  <c r="E46" i="144"/>
  <c r="E47" i="144"/>
  <c r="E48" i="144"/>
  <c r="E49" i="144"/>
  <c r="E50" i="144"/>
  <c r="E51" i="144"/>
  <c r="E52" i="144"/>
  <c r="E53" i="144"/>
  <c r="E54" i="144"/>
  <c r="E55" i="144"/>
  <c r="E56" i="144"/>
  <c r="E57" i="144"/>
  <c r="E58" i="144"/>
  <c r="E59" i="144"/>
  <c r="D13" i="67"/>
  <c r="D38" i="144"/>
  <c r="D39" i="144"/>
  <c r="D40" i="144"/>
  <c r="D41" i="144"/>
  <c r="D42" i="144"/>
  <c r="D43" i="144"/>
  <c r="D44" i="144"/>
  <c r="D45" i="144"/>
  <c r="D46" i="144"/>
  <c r="D47" i="144"/>
  <c r="D48" i="144"/>
  <c r="D49" i="144"/>
  <c r="D50" i="144"/>
  <c r="D51" i="144"/>
  <c r="D52" i="144"/>
  <c r="D53" i="144"/>
  <c r="D54" i="144"/>
  <c r="D55" i="144"/>
  <c r="D56" i="144"/>
  <c r="D57" i="144"/>
  <c r="D58" i="144"/>
  <c r="D59" i="144"/>
  <c r="C13" i="67"/>
  <c r="J38" i="143"/>
  <c r="J39" i="143"/>
  <c r="J40" i="143"/>
  <c r="J41" i="143"/>
  <c r="J42" i="143"/>
  <c r="J43" i="143"/>
  <c r="J44" i="143"/>
  <c r="J45" i="143"/>
  <c r="J46" i="143"/>
  <c r="J47" i="143"/>
  <c r="J48" i="143"/>
  <c r="J49" i="143"/>
  <c r="J50" i="143"/>
  <c r="J51" i="143"/>
  <c r="J52" i="143"/>
  <c r="J53" i="143"/>
  <c r="J54" i="143"/>
  <c r="J55" i="143"/>
  <c r="J56" i="143"/>
  <c r="J57" i="143"/>
  <c r="J58" i="143"/>
  <c r="J59" i="143"/>
  <c r="I12" i="67"/>
  <c r="I38" i="143"/>
  <c r="I39" i="143"/>
  <c r="I40" i="143"/>
  <c r="I41" i="143"/>
  <c r="I42" i="143"/>
  <c r="I43" i="143"/>
  <c r="I44" i="143"/>
  <c r="I45" i="143"/>
  <c r="I46" i="143"/>
  <c r="I47" i="143"/>
  <c r="I48" i="143"/>
  <c r="I49" i="143"/>
  <c r="I50" i="143"/>
  <c r="I51" i="143"/>
  <c r="I52" i="143"/>
  <c r="I53" i="143"/>
  <c r="I54" i="143"/>
  <c r="I55" i="143"/>
  <c r="I56" i="143"/>
  <c r="I57" i="143"/>
  <c r="I58" i="143"/>
  <c r="I59" i="143"/>
  <c r="H12" i="67"/>
  <c r="H14" i="143"/>
  <c r="I14" i="143"/>
  <c r="H38" i="143"/>
  <c r="H15" i="143"/>
  <c r="I15" i="143"/>
  <c r="H39" i="143"/>
  <c r="H16" i="143"/>
  <c r="I16" i="143"/>
  <c r="H40" i="143"/>
  <c r="H17" i="143"/>
  <c r="I17" i="143"/>
  <c r="H41" i="143"/>
  <c r="H18" i="143"/>
  <c r="I18" i="143"/>
  <c r="H42" i="143"/>
  <c r="H19" i="143"/>
  <c r="I19" i="143"/>
  <c r="H43" i="143"/>
  <c r="H20" i="143"/>
  <c r="I20" i="143"/>
  <c r="H44" i="143"/>
  <c r="H21" i="143"/>
  <c r="I21" i="143"/>
  <c r="H45" i="143"/>
  <c r="H22" i="143"/>
  <c r="I22" i="143"/>
  <c r="H46" i="143"/>
  <c r="H23" i="143"/>
  <c r="I23" i="143"/>
  <c r="H47" i="143"/>
  <c r="H24" i="143"/>
  <c r="I24" i="143"/>
  <c r="H48" i="143"/>
  <c r="H25" i="143"/>
  <c r="I25" i="143"/>
  <c r="H49" i="143"/>
  <c r="H26" i="143"/>
  <c r="I26" i="143"/>
  <c r="H50" i="143"/>
  <c r="H27" i="143"/>
  <c r="I27" i="143"/>
  <c r="H51" i="143"/>
  <c r="H28" i="143"/>
  <c r="I28" i="143"/>
  <c r="H52" i="143"/>
  <c r="H29" i="143"/>
  <c r="I29" i="143"/>
  <c r="H53" i="143"/>
  <c r="H30" i="143"/>
  <c r="I30" i="143"/>
  <c r="H54" i="143"/>
  <c r="H31" i="143"/>
  <c r="I31" i="143"/>
  <c r="H55" i="143"/>
  <c r="H32" i="143"/>
  <c r="I32" i="143"/>
  <c r="H56" i="143"/>
  <c r="H33" i="143"/>
  <c r="I33" i="143"/>
  <c r="H57" i="143"/>
  <c r="H34" i="143"/>
  <c r="I34" i="143"/>
  <c r="H58" i="143"/>
  <c r="H59" i="143"/>
  <c r="G12" i="67"/>
  <c r="G38" i="143"/>
  <c r="G39" i="143"/>
  <c r="G40" i="143"/>
  <c r="G41" i="143"/>
  <c r="G42" i="143"/>
  <c r="G43" i="143"/>
  <c r="G44" i="143"/>
  <c r="G45" i="143"/>
  <c r="G46" i="143"/>
  <c r="G47" i="143"/>
  <c r="G48" i="143"/>
  <c r="G49" i="143"/>
  <c r="G50" i="143"/>
  <c r="G51" i="143"/>
  <c r="G52" i="143"/>
  <c r="G53" i="143"/>
  <c r="G54" i="143"/>
  <c r="G55" i="143"/>
  <c r="G56" i="143"/>
  <c r="G57" i="143"/>
  <c r="G58" i="143"/>
  <c r="G59" i="143"/>
  <c r="F12" i="67"/>
  <c r="F38" i="143"/>
  <c r="F39" i="143"/>
  <c r="F40" i="143"/>
  <c r="F41" i="143"/>
  <c r="F42" i="143"/>
  <c r="F43" i="143"/>
  <c r="F44" i="143"/>
  <c r="F45" i="143"/>
  <c r="F46" i="143"/>
  <c r="F47" i="143"/>
  <c r="F48" i="143"/>
  <c r="F49" i="143"/>
  <c r="F50" i="143"/>
  <c r="F51" i="143"/>
  <c r="F52" i="143"/>
  <c r="F53" i="143"/>
  <c r="F54" i="143"/>
  <c r="F55" i="143"/>
  <c r="F56" i="143"/>
  <c r="F57" i="143"/>
  <c r="F58" i="143"/>
  <c r="F59" i="143"/>
  <c r="E12" i="67"/>
  <c r="E38" i="143"/>
  <c r="E39" i="143"/>
  <c r="E40" i="143"/>
  <c r="E41" i="143"/>
  <c r="E42" i="143"/>
  <c r="E43" i="143"/>
  <c r="E44" i="143"/>
  <c r="E45" i="143"/>
  <c r="E46" i="143"/>
  <c r="E47" i="143"/>
  <c r="E48" i="143"/>
  <c r="E49" i="143"/>
  <c r="E50" i="143"/>
  <c r="E51" i="143"/>
  <c r="E52" i="143"/>
  <c r="E53" i="143"/>
  <c r="E54" i="143"/>
  <c r="E55" i="143"/>
  <c r="E56" i="143"/>
  <c r="E57" i="143"/>
  <c r="E58" i="143"/>
  <c r="E59" i="143"/>
  <c r="D12" i="67"/>
  <c r="D38" i="143"/>
  <c r="D39" i="143"/>
  <c r="D40" i="143"/>
  <c r="D41" i="143"/>
  <c r="D42" i="143"/>
  <c r="D43" i="143"/>
  <c r="D44" i="143"/>
  <c r="D45" i="143"/>
  <c r="D46" i="143"/>
  <c r="D47" i="143"/>
  <c r="D48" i="143"/>
  <c r="D49" i="143"/>
  <c r="D50" i="143"/>
  <c r="D51" i="143"/>
  <c r="D52" i="143"/>
  <c r="D53" i="143"/>
  <c r="D54" i="143"/>
  <c r="D55" i="143"/>
  <c r="D56" i="143"/>
  <c r="D57" i="143"/>
  <c r="D58" i="143"/>
  <c r="D59" i="143"/>
  <c r="C12" i="67"/>
  <c r="J38" i="142"/>
  <c r="J39" i="142"/>
  <c r="J40" i="142"/>
  <c r="J41" i="142"/>
  <c r="J42" i="142"/>
  <c r="J43" i="142"/>
  <c r="J44" i="142"/>
  <c r="J45" i="142"/>
  <c r="J46" i="142"/>
  <c r="J47" i="142"/>
  <c r="J48" i="142"/>
  <c r="J49" i="142"/>
  <c r="J50" i="142"/>
  <c r="J51" i="142"/>
  <c r="J52" i="142"/>
  <c r="J53" i="142"/>
  <c r="J54" i="142"/>
  <c r="J55" i="142"/>
  <c r="J56" i="142"/>
  <c r="J57" i="142"/>
  <c r="J58" i="142"/>
  <c r="J59" i="142"/>
  <c r="I11" i="67"/>
  <c r="I38" i="142"/>
  <c r="I39" i="142"/>
  <c r="I40" i="142"/>
  <c r="I41" i="142"/>
  <c r="I42" i="142"/>
  <c r="I43" i="142"/>
  <c r="I44" i="142"/>
  <c r="I45" i="142"/>
  <c r="I46" i="142"/>
  <c r="I47" i="142"/>
  <c r="I48" i="142"/>
  <c r="I49" i="142"/>
  <c r="I50" i="142"/>
  <c r="I51" i="142"/>
  <c r="I52" i="142"/>
  <c r="I53" i="142"/>
  <c r="I54" i="142"/>
  <c r="I55" i="142"/>
  <c r="I56" i="142"/>
  <c r="I57" i="142"/>
  <c r="I58" i="142"/>
  <c r="I59" i="142"/>
  <c r="H11" i="67"/>
  <c r="H14" i="142"/>
  <c r="I14" i="142"/>
  <c r="H38" i="142"/>
  <c r="H15" i="142"/>
  <c r="I15" i="142"/>
  <c r="H39" i="142"/>
  <c r="H16" i="142"/>
  <c r="I16" i="142"/>
  <c r="H40" i="142"/>
  <c r="H17" i="142"/>
  <c r="I17" i="142"/>
  <c r="H41" i="142"/>
  <c r="H18" i="142"/>
  <c r="I18" i="142"/>
  <c r="H42" i="142"/>
  <c r="H19" i="142"/>
  <c r="I19" i="142"/>
  <c r="H43" i="142"/>
  <c r="H20" i="142"/>
  <c r="I20" i="142"/>
  <c r="H44" i="142"/>
  <c r="H21" i="142"/>
  <c r="I21" i="142"/>
  <c r="H45" i="142"/>
  <c r="H22" i="142"/>
  <c r="I22" i="142"/>
  <c r="H46" i="142"/>
  <c r="H23" i="142"/>
  <c r="I23" i="142"/>
  <c r="H47" i="142"/>
  <c r="H24" i="142"/>
  <c r="I24" i="142"/>
  <c r="H48" i="142"/>
  <c r="H25" i="142"/>
  <c r="I25" i="142"/>
  <c r="H49" i="142"/>
  <c r="H26" i="142"/>
  <c r="I26" i="142"/>
  <c r="H50" i="142"/>
  <c r="H27" i="142"/>
  <c r="I27" i="142"/>
  <c r="H51" i="142"/>
  <c r="H28" i="142"/>
  <c r="I28" i="142"/>
  <c r="H52" i="142"/>
  <c r="H29" i="142"/>
  <c r="I29" i="142"/>
  <c r="H53" i="142"/>
  <c r="H30" i="142"/>
  <c r="I30" i="142"/>
  <c r="H54" i="142"/>
  <c r="H31" i="142"/>
  <c r="I31" i="142"/>
  <c r="H55" i="142"/>
  <c r="H32" i="142"/>
  <c r="I32" i="142"/>
  <c r="H56" i="142"/>
  <c r="H33" i="142"/>
  <c r="I33" i="142"/>
  <c r="H57" i="142"/>
  <c r="H34" i="142"/>
  <c r="I34" i="142"/>
  <c r="H58" i="142"/>
  <c r="H59" i="142"/>
  <c r="G11" i="67"/>
  <c r="G38" i="142"/>
  <c r="G39" i="142"/>
  <c r="G40" i="142"/>
  <c r="G41" i="142"/>
  <c r="G42" i="142"/>
  <c r="G43" i="142"/>
  <c r="G44" i="142"/>
  <c r="G45" i="142"/>
  <c r="G46" i="142"/>
  <c r="G47" i="142"/>
  <c r="G48" i="142"/>
  <c r="G49" i="142"/>
  <c r="G50" i="142"/>
  <c r="G51" i="142"/>
  <c r="G52" i="142"/>
  <c r="G53" i="142"/>
  <c r="G54" i="142"/>
  <c r="G55" i="142"/>
  <c r="G56" i="142"/>
  <c r="G57" i="142"/>
  <c r="G58" i="142"/>
  <c r="G59" i="142"/>
  <c r="F11" i="67"/>
  <c r="F38" i="142"/>
  <c r="F39" i="142"/>
  <c r="F40" i="142"/>
  <c r="F41" i="142"/>
  <c r="F42" i="142"/>
  <c r="F43" i="142"/>
  <c r="F44" i="142"/>
  <c r="F45" i="142"/>
  <c r="F46" i="142"/>
  <c r="F47" i="142"/>
  <c r="F48" i="142"/>
  <c r="F49" i="142"/>
  <c r="F50" i="142"/>
  <c r="F51" i="142"/>
  <c r="F52" i="142"/>
  <c r="F53" i="142"/>
  <c r="F54" i="142"/>
  <c r="F55" i="142"/>
  <c r="F56" i="142"/>
  <c r="F57" i="142"/>
  <c r="F58" i="142"/>
  <c r="F59" i="142"/>
  <c r="E11" i="67"/>
  <c r="E38" i="142"/>
  <c r="E39" i="142"/>
  <c r="E40" i="142"/>
  <c r="E41" i="142"/>
  <c r="E42" i="142"/>
  <c r="E43" i="142"/>
  <c r="E44" i="142"/>
  <c r="E45" i="142"/>
  <c r="E46" i="142"/>
  <c r="E47" i="142"/>
  <c r="E48" i="142"/>
  <c r="E49" i="142"/>
  <c r="E50" i="142"/>
  <c r="E51" i="142"/>
  <c r="E52" i="142"/>
  <c r="E53" i="142"/>
  <c r="E54" i="142"/>
  <c r="E55" i="142"/>
  <c r="E56" i="142"/>
  <c r="E57" i="142"/>
  <c r="E58" i="142"/>
  <c r="E59" i="142"/>
  <c r="D11" i="67"/>
  <c r="D38" i="142"/>
  <c r="D39" i="142"/>
  <c r="D40" i="142"/>
  <c r="D41" i="142"/>
  <c r="D42" i="142"/>
  <c r="D43" i="142"/>
  <c r="D44" i="142"/>
  <c r="D45" i="142"/>
  <c r="D46" i="142"/>
  <c r="D47" i="142"/>
  <c r="D48" i="142"/>
  <c r="D49" i="142"/>
  <c r="D50" i="142"/>
  <c r="D51" i="142"/>
  <c r="D52" i="142"/>
  <c r="D53" i="142"/>
  <c r="D54" i="142"/>
  <c r="D55" i="142"/>
  <c r="D56" i="142"/>
  <c r="D57" i="142"/>
  <c r="D58" i="142"/>
  <c r="D59" i="142"/>
  <c r="C11" i="67"/>
  <c r="J38" i="135"/>
  <c r="J39" i="135"/>
  <c r="J40" i="135"/>
  <c r="J41" i="135"/>
  <c r="J42" i="135"/>
  <c r="J43" i="135"/>
  <c r="J44" i="135"/>
  <c r="J45" i="135"/>
  <c r="J46" i="135"/>
  <c r="J47" i="135"/>
  <c r="J48" i="135"/>
  <c r="J49" i="135"/>
  <c r="J50" i="135"/>
  <c r="J51" i="135"/>
  <c r="J52" i="135"/>
  <c r="J53" i="135"/>
  <c r="J54" i="135"/>
  <c r="J55" i="135"/>
  <c r="J56" i="135"/>
  <c r="J57" i="135"/>
  <c r="J58" i="135"/>
  <c r="J59" i="135"/>
  <c r="I10" i="67"/>
  <c r="I38" i="135"/>
  <c r="I39" i="135"/>
  <c r="I40" i="135"/>
  <c r="I41" i="135"/>
  <c r="I42" i="135"/>
  <c r="I43" i="135"/>
  <c r="I44" i="135"/>
  <c r="I45" i="135"/>
  <c r="I46" i="135"/>
  <c r="I47" i="135"/>
  <c r="I48" i="135"/>
  <c r="I49" i="135"/>
  <c r="I50" i="135"/>
  <c r="I51" i="135"/>
  <c r="I52" i="135"/>
  <c r="I53" i="135"/>
  <c r="I54" i="135"/>
  <c r="I55" i="135"/>
  <c r="I56" i="135"/>
  <c r="I57" i="135"/>
  <c r="I58" i="135"/>
  <c r="I59" i="135"/>
  <c r="H10" i="67"/>
  <c r="H14" i="135"/>
  <c r="I14" i="135"/>
  <c r="H38" i="135"/>
  <c r="H15" i="135"/>
  <c r="I15" i="135"/>
  <c r="H39" i="135"/>
  <c r="H16" i="135"/>
  <c r="I16" i="135"/>
  <c r="H40" i="135"/>
  <c r="H17" i="135"/>
  <c r="I17" i="135"/>
  <c r="H41" i="135"/>
  <c r="H18" i="135"/>
  <c r="I18" i="135"/>
  <c r="H42" i="135"/>
  <c r="H19" i="135"/>
  <c r="I19" i="135"/>
  <c r="H43" i="135"/>
  <c r="H20" i="135"/>
  <c r="I20" i="135"/>
  <c r="H44" i="135"/>
  <c r="H21" i="135"/>
  <c r="I21" i="135"/>
  <c r="H45" i="135"/>
  <c r="H22" i="135"/>
  <c r="I22" i="135"/>
  <c r="H46" i="135"/>
  <c r="H23" i="135"/>
  <c r="I23" i="135"/>
  <c r="H47" i="135"/>
  <c r="H24" i="135"/>
  <c r="I24" i="135"/>
  <c r="H48" i="135"/>
  <c r="H25" i="135"/>
  <c r="I25" i="135"/>
  <c r="H49" i="135"/>
  <c r="H26" i="135"/>
  <c r="I26" i="135"/>
  <c r="H50" i="135"/>
  <c r="H27" i="135"/>
  <c r="I27" i="135"/>
  <c r="H51" i="135"/>
  <c r="H28" i="135"/>
  <c r="I28" i="135"/>
  <c r="H52" i="135"/>
  <c r="H29" i="135"/>
  <c r="I29" i="135"/>
  <c r="H53" i="135"/>
  <c r="H30" i="135"/>
  <c r="I30" i="135"/>
  <c r="H54" i="135"/>
  <c r="H31" i="135"/>
  <c r="I31" i="135"/>
  <c r="H55" i="135"/>
  <c r="H32" i="135"/>
  <c r="I32" i="135"/>
  <c r="H56" i="135"/>
  <c r="H33" i="135"/>
  <c r="I33" i="135"/>
  <c r="H57" i="135"/>
  <c r="H34" i="135"/>
  <c r="I34" i="135"/>
  <c r="H58" i="135"/>
  <c r="H59" i="135"/>
  <c r="G10" i="67"/>
  <c r="G38" i="135"/>
  <c r="G39" i="135"/>
  <c r="G40" i="135"/>
  <c r="G41" i="135"/>
  <c r="G42" i="135"/>
  <c r="G43" i="135"/>
  <c r="G44" i="135"/>
  <c r="G45" i="135"/>
  <c r="G46" i="135"/>
  <c r="G47" i="135"/>
  <c r="G48" i="135"/>
  <c r="G49" i="135"/>
  <c r="G50" i="135"/>
  <c r="G51" i="135"/>
  <c r="G52" i="135"/>
  <c r="G53" i="135"/>
  <c r="G54" i="135"/>
  <c r="G55" i="135"/>
  <c r="G56" i="135"/>
  <c r="G57" i="135"/>
  <c r="G58" i="135"/>
  <c r="G59" i="135"/>
  <c r="F10" i="67"/>
  <c r="F38" i="135"/>
  <c r="F39" i="135"/>
  <c r="F40" i="135"/>
  <c r="F41" i="135"/>
  <c r="F42" i="135"/>
  <c r="F43" i="135"/>
  <c r="F44" i="135"/>
  <c r="F45" i="135"/>
  <c r="F46" i="135"/>
  <c r="F47" i="135"/>
  <c r="F48" i="135"/>
  <c r="F49" i="135"/>
  <c r="F50" i="135"/>
  <c r="F51" i="135"/>
  <c r="F52" i="135"/>
  <c r="F53" i="135"/>
  <c r="F54" i="135"/>
  <c r="F55" i="135"/>
  <c r="F56" i="135"/>
  <c r="F57" i="135"/>
  <c r="F58" i="135"/>
  <c r="F59" i="135"/>
  <c r="E10" i="67"/>
  <c r="E38" i="135"/>
  <c r="E39" i="135"/>
  <c r="E40" i="135"/>
  <c r="E41" i="135"/>
  <c r="E42" i="135"/>
  <c r="E43" i="135"/>
  <c r="E44" i="135"/>
  <c r="E45" i="135"/>
  <c r="E46" i="135"/>
  <c r="E47" i="135"/>
  <c r="E48" i="135"/>
  <c r="E49" i="135"/>
  <c r="E50" i="135"/>
  <c r="E51" i="135"/>
  <c r="E52" i="135"/>
  <c r="E53" i="135"/>
  <c r="E54" i="135"/>
  <c r="E55" i="135"/>
  <c r="E56" i="135"/>
  <c r="E57" i="135"/>
  <c r="E58" i="135"/>
  <c r="E59" i="135"/>
  <c r="D10" i="67"/>
  <c r="D38" i="135"/>
  <c r="D39" i="135"/>
  <c r="D40" i="135"/>
  <c r="D41" i="135"/>
  <c r="D42" i="135"/>
  <c r="D43" i="135"/>
  <c r="D44" i="135"/>
  <c r="D45" i="135"/>
  <c r="D46" i="135"/>
  <c r="D47" i="135"/>
  <c r="D48" i="135"/>
  <c r="D49" i="135"/>
  <c r="D50" i="135"/>
  <c r="D51" i="135"/>
  <c r="D52" i="135"/>
  <c r="D53" i="135"/>
  <c r="D54" i="135"/>
  <c r="D55" i="135"/>
  <c r="D56" i="135"/>
  <c r="D57" i="135"/>
  <c r="D58" i="135"/>
  <c r="D59" i="135"/>
  <c r="C10" i="67"/>
  <c r="J38" i="134"/>
  <c r="J39" i="134"/>
  <c r="J40" i="134"/>
  <c r="J41" i="134"/>
  <c r="J42" i="134"/>
  <c r="J43" i="134"/>
  <c r="J44" i="134"/>
  <c r="J45" i="134"/>
  <c r="J46" i="134"/>
  <c r="J47" i="134"/>
  <c r="J48" i="134"/>
  <c r="J49" i="134"/>
  <c r="J50" i="134"/>
  <c r="J51" i="134"/>
  <c r="J52" i="134"/>
  <c r="J53" i="134"/>
  <c r="J54" i="134"/>
  <c r="J55" i="134"/>
  <c r="J56" i="134"/>
  <c r="J57" i="134"/>
  <c r="J58" i="134"/>
  <c r="J59" i="134"/>
  <c r="I9" i="67"/>
  <c r="I38" i="134"/>
  <c r="I39" i="134"/>
  <c r="I40" i="134"/>
  <c r="I41" i="134"/>
  <c r="I42" i="134"/>
  <c r="I43" i="134"/>
  <c r="I44" i="134"/>
  <c r="I45" i="134"/>
  <c r="I46" i="134"/>
  <c r="I47" i="134"/>
  <c r="I48" i="134"/>
  <c r="I49" i="134"/>
  <c r="I50" i="134"/>
  <c r="I51" i="134"/>
  <c r="I52" i="134"/>
  <c r="I53" i="134"/>
  <c r="I54" i="134"/>
  <c r="I55" i="134"/>
  <c r="I56" i="134"/>
  <c r="I57" i="134"/>
  <c r="I58" i="134"/>
  <c r="I59" i="134"/>
  <c r="H9" i="67"/>
  <c r="H14" i="134"/>
  <c r="I14" i="134"/>
  <c r="H38" i="134"/>
  <c r="H15" i="134"/>
  <c r="I15" i="134"/>
  <c r="H39" i="134"/>
  <c r="H16" i="134"/>
  <c r="I16" i="134"/>
  <c r="H40" i="134"/>
  <c r="H17" i="134"/>
  <c r="I17" i="134"/>
  <c r="H41" i="134"/>
  <c r="H18" i="134"/>
  <c r="I18" i="134"/>
  <c r="H42" i="134"/>
  <c r="H19" i="134"/>
  <c r="I19" i="134"/>
  <c r="H43" i="134"/>
  <c r="H20" i="134"/>
  <c r="I20" i="134"/>
  <c r="H44" i="134"/>
  <c r="H21" i="134"/>
  <c r="I21" i="134"/>
  <c r="H45" i="134"/>
  <c r="H22" i="134"/>
  <c r="I22" i="134"/>
  <c r="H46" i="134"/>
  <c r="H23" i="134"/>
  <c r="I23" i="134"/>
  <c r="H47" i="134"/>
  <c r="H24" i="134"/>
  <c r="I24" i="134"/>
  <c r="H48" i="134"/>
  <c r="H25" i="134"/>
  <c r="I25" i="134"/>
  <c r="H49" i="134"/>
  <c r="H26" i="134"/>
  <c r="I26" i="134"/>
  <c r="H50" i="134"/>
  <c r="H27" i="134"/>
  <c r="I27" i="134"/>
  <c r="H51" i="134"/>
  <c r="H28" i="134"/>
  <c r="I28" i="134"/>
  <c r="H52" i="134"/>
  <c r="H29" i="134"/>
  <c r="I29" i="134"/>
  <c r="H53" i="134"/>
  <c r="H30" i="134"/>
  <c r="I30" i="134"/>
  <c r="H54" i="134"/>
  <c r="H31" i="134"/>
  <c r="I31" i="134"/>
  <c r="H55" i="134"/>
  <c r="H32" i="134"/>
  <c r="I32" i="134"/>
  <c r="H56" i="134"/>
  <c r="H33" i="134"/>
  <c r="I33" i="134"/>
  <c r="H57" i="134"/>
  <c r="H34" i="134"/>
  <c r="I34" i="134"/>
  <c r="H58" i="134"/>
  <c r="H59" i="134"/>
  <c r="G9" i="67"/>
  <c r="G38" i="134"/>
  <c r="G39" i="134"/>
  <c r="G40" i="134"/>
  <c r="G41" i="134"/>
  <c r="G42" i="134"/>
  <c r="G43" i="134"/>
  <c r="G44" i="134"/>
  <c r="G45" i="134"/>
  <c r="G46" i="134"/>
  <c r="G47" i="134"/>
  <c r="G48" i="134"/>
  <c r="G49" i="134"/>
  <c r="G50" i="134"/>
  <c r="G51" i="134"/>
  <c r="G52" i="134"/>
  <c r="G53" i="134"/>
  <c r="G54" i="134"/>
  <c r="G55" i="134"/>
  <c r="G56" i="134"/>
  <c r="G57" i="134"/>
  <c r="G58" i="134"/>
  <c r="G59" i="134"/>
  <c r="F9" i="67"/>
  <c r="F38" i="134"/>
  <c r="F39" i="134"/>
  <c r="F40" i="134"/>
  <c r="F41" i="134"/>
  <c r="F42" i="134"/>
  <c r="F43" i="134"/>
  <c r="F44" i="134"/>
  <c r="F45" i="134"/>
  <c r="F46" i="134"/>
  <c r="F47" i="134"/>
  <c r="F48" i="134"/>
  <c r="F49" i="134"/>
  <c r="F50" i="134"/>
  <c r="F51" i="134"/>
  <c r="F52" i="134"/>
  <c r="F53" i="134"/>
  <c r="F54" i="134"/>
  <c r="F55" i="134"/>
  <c r="F56" i="134"/>
  <c r="F57" i="134"/>
  <c r="F58" i="134"/>
  <c r="F59" i="134"/>
  <c r="E9" i="67"/>
  <c r="E38" i="134"/>
  <c r="E39" i="134"/>
  <c r="E40" i="134"/>
  <c r="E41" i="134"/>
  <c r="E42" i="134"/>
  <c r="E43" i="134"/>
  <c r="E44" i="134"/>
  <c r="E45" i="134"/>
  <c r="E46" i="134"/>
  <c r="E47" i="134"/>
  <c r="E48" i="134"/>
  <c r="E49" i="134"/>
  <c r="E50" i="134"/>
  <c r="E51" i="134"/>
  <c r="E52" i="134"/>
  <c r="E53" i="134"/>
  <c r="E54" i="134"/>
  <c r="E55" i="134"/>
  <c r="E56" i="134"/>
  <c r="E57" i="134"/>
  <c r="E58" i="134"/>
  <c r="E59" i="134"/>
  <c r="D9" i="67"/>
  <c r="D38" i="134"/>
  <c r="D39" i="134"/>
  <c r="D40" i="134"/>
  <c r="D41" i="134"/>
  <c r="D42" i="134"/>
  <c r="D43" i="134"/>
  <c r="D44" i="134"/>
  <c r="D45" i="134"/>
  <c r="D46" i="134"/>
  <c r="D47" i="134"/>
  <c r="D48" i="134"/>
  <c r="D49" i="134"/>
  <c r="D50" i="134"/>
  <c r="D51" i="134"/>
  <c r="D52" i="134"/>
  <c r="D53" i="134"/>
  <c r="D54" i="134"/>
  <c r="D55" i="134"/>
  <c r="D56" i="134"/>
  <c r="D57" i="134"/>
  <c r="D58" i="134"/>
  <c r="D59" i="134"/>
  <c r="C9" i="67"/>
  <c r="J42" i="128"/>
  <c r="J43" i="128"/>
  <c r="J44" i="128"/>
  <c r="J45" i="128"/>
  <c r="J46" i="128"/>
  <c r="J47" i="128"/>
  <c r="J48" i="128"/>
  <c r="J49" i="128"/>
  <c r="J50" i="128"/>
  <c r="J51" i="128"/>
  <c r="J52" i="128"/>
  <c r="J53" i="128"/>
  <c r="J54" i="128"/>
  <c r="J55" i="128"/>
  <c r="J56" i="128"/>
  <c r="J57" i="128"/>
  <c r="J58" i="128"/>
  <c r="J38" i="128"/>
  <c r="J39" i="128"/>
  <c r="J40" i="128"/>
  <c r="J41" i="128"/>
  <c r="J59" i="128"/>
  <c r="I8" i="67"/>
  <c r="I42" i="128"/>
  <c r="I43" i="128"/>
  <c r="I44" i="128"/>
  <c r="I45" i="128"/>
  <c r="I46" i="128"/>
  <c r="I47" i="128"/>
  <c r="I48" i="128"/>
  <c r="I49" i="128"/>
  <c r="I50" i="128"/>
  <c r="I51" i="128"/>
  <c r="I52" i="128"/>
  <c r="I53" i="128"/>
  <c r="I54" i="128"/>
  <c r="I55" i="128"/>
  <c r="I56" i="128"/>
  <c r="I57" i="128"/>
  <c r="I58" i="128"/>
  <c r="I38" i="128"/>
  <c r="I39" i="128"/>
  <c r="I40" i="128"/>
  <c r="I41" i="128"/>
  <c r="I59" i="128"/>
  <c r="H8" i="67"/>
  <c r="H18" i="128"/>
  <c r="I18" i="128"/>
  <c r="H42" i="128"/>
  <c r="H19" i="128"/>
  <c r="I19" i="128"/>
  <c r="H43" i="128"/>
  <c r="H20" i="128"/>
  <c r="I20" i="128"/>
  <c r="H44" i="128"/>
  <c r="H21" i="128"/>
  <c r="I21" i="128"/>
  <c r="H45" i="128"/>
  <c r="H22" i="128"/>
  <c r="I22" i="128"/>
  <c r="H46" i="128"/>
  <c r="H23" i="128"/>
  <c r="I23" i="128"/>
  <c r="H47" i="128"/>
  <c r="H24" i="128"/>
  <c r="I24" i="128"/>
  <c r="H48" i="128"/>
  <c r="H25" i="128"/>
  <c r="I25" i="128"/>
  <c r="H49" i="128"/>
  <c r="H26" i="128"/>
  <c r="I26" i="128"/>
  <c r="H50" i="128"/>
  <c r="H27" i="128"/>
  <c r="I27" i="128"/>
  <c r="H51" i="128"/>
  <c r="H28" i="128"/>
  <c r="I28" i="128"/>
  <c r="H52" i="128"/>
  <c r="H29" i="128"/>
  <c r="I29" i="128"/>
  <c r="H53" i="128"/>
  <c r="H30" i="128"/>
  <c r="I30" i="128"/>
  <c r="H54" i="128"/>
  <c r="H31" i="128"/>
  <c r="I31" i="128"/>
  <c r="H55" i="128"/>
  <c r="H32" i="128"/>
  <c r="I32" i="128"/>
  <c r="H56" i="128"/>
  <c r="H33" i="128"/>
  <c r="I33" i="128"/>
  <c r="H57" i="128"/>
  <c r="H34" i="128"/>
  <c r="I34" i="128"/>
  <c r="H58" i="128"/>
  <c r="H14" i="128"/>
  <c r="I14" i="128"/>
  <c r="H38" i="128"/>
  <c r="H15" i="128"/>
  <c r="I15" i="128"/>
  <c r="H39" i="128"/>
  <c r="H16" i="128"/>
  <c r="I16" i="128"/>
  <c r="H40" i="128"/>
  <c r="H17" i="128"/>
  <c r="I17" i="128"/>
  <c r="H41" i="128"/>
  <c r="H59" i="128"/>
  <c r="G8" i="67"/>
  <c r="G42" i="128"/>
  <c r="G43" i="128"/>
  <c r="G46" i="128"/>
  <c r="G48" i="128"/>
  <c r="G49" i="128"/>
  <c r="G52" i="128"/>
  <c r="G54" i="128"/>
  <c r="G38" i="128"/>
  <c r="G39" i="128"/>
  <c r="G40" i="128"/>
  <c r="G41" i="128"/>
  <c r="G44" i="128"/>
  <c r="G45" i="128"/>
  <c r="G47" i="128"/>
  <c r="G50" i="128"/>
  <c r="G51" i="128"/>
  <c r="G53" i="128"/>
  <c r="G55" i="128"/>
  <c r="G56" i="128"/>
  <c r="G57" i="128"/>
  <c r="G58" i="128"/>
  <c r="G59" i="128"/>
  <c r="F8" i="67"/>
  <c r="F42" i="128"/>
  <c r="F43" i="128"/>
  <c r="F44" i="128"/>
  <c r="F45" i="128"/>
  <c r="F46" i="128"/>
  <c r="F47" i="128"/>
  <c r="F48" i="128"/>
  <c r="F49" i="128"/>
  <c r="F50" i="128"/>
  <c r="F51" i="128"/>
  <c r="F52" i="128"/>
  <c r="F53" i="128"/>
  <c r="F54" i="128"/>
  <c r="F55" i="128"/>
  <c r="F56" i="128"/>
  <c r="F57" i="128"/>
  <c r="F58" i="128"/>
  <c r="F38" i="128"/>
  <c r="F39" i="128"/>
  <c r="F40" i="128"/>
  <c r="F41" i="128"/>
  <c r="F59" i="128"/>
  <c r="E8" i="67"/>
  <c r="E42" i="128"/>
  <c r="E43" i="128"/>
  <c r="E44" i="128"/>
  <c r="E45" i="128"/>
  <c r="E46" i="128"/>
  <c r="E47" i="128"/>
  <c r="E48" i="128"/>
  <c r="E49" i="128"/>
  <c r="E50" i="128"/>
  <c r="E51" i="128"/>
  <c r="E52" i="128"/>
  <c r="E53" i="128"/>
  <c r="E54" i="128"/>
  <c r="E55" i="128"/>
  <c r="E56" i="128"/>
  <c r="E57" i="128"/>
  <c r="E58" i="128"/>
  <c r="E38" i="128"/>
  <c r="E39" i="128"/>
  <c r="E40" i="128"/>
  <c r="E41" i="128"/>
  <c r="E59" i="128"/>
  <c r="D8" i="67"/>
  <c r="D42" i="128"/>
  <c r="D43" i="128"/>
  <c r="D44" i="128"/>
  <c r="D45" i="128"/>
  <c r="D46" i="128"/>
  <c r="D47" i="128"/>
  <c r="D48" i="128"/>
  <c r="D49" i="128"/>
  <c r="D50" i="128"/>
  <c r="D51" i="128"/>
  <c r="D52" i="128"/>
  <c r="D53" i="128"/>
  <c r="D54" i="128"/>
  <c r="D55" i="128"/>
  <c r="D56" i="128"/>
  <c r="D57" i="128"/>
  <c r="D58" i="128"/>
  <c r="D38" i="128"/>
  <c r="D39" i="128"/>
  <c r="D40" i="128"/>
  <c r="D41" i="128"/>
  <c r="D59" i="128"/>
  <c r="C8" i="67"/>
  <c r="J42" i="127"/>
  <c r="J44" i="127"/>
  <c r="J43" i="127"/>
  <c r="J45" i="127"/>
  <c r="J46" i="127"/>
  <c r="J47" i="127"/>
  <c r="J48" i="127"/>
  <c r="J49" i="127"/>
  <c r="J50" i="127"/>
  <c r="J51" i="127"/>
  <c r="J52" i="127"/>
  <c r="J53" i="127"/>
  <c r="J54" i="127"/>
  <c r="J55" i="127"/>
  <c r="J56" i="127"/>
  <c r="J57" i="127"/>
  <c r="J58" i="127"/>
  <c r="J38" i="127"/>
  <c r="J39" i="127"/>
  <c r="J40" i="127"/>
  <c r="J41" i="127"/>
  <c r="J59" i="127"/>
  <c r="I7" i="67"/>
  <c r="I42" i="127"/>
  <c r="I44" i="127"/>
  <c r="I43" i="127"/>
  <c r="I45" i="127"/>
  <c r="I46" i="127"/>
  <c r="I47" i="127"/>
  <c r="I48" i="127"/>
  <c r="I49" i="127"/>
  <c r="I50" i="127"/>
  <c r="I51" i="127"/>
  <c r="I52" i="127"/>
  <c r="I53" i="127"/>
  <c r="I54" i="127"/>
  <c r="I55" i="127"/>
  <c r="I56" i="127"/>
  <c r="I57" i="127"/>
  <c r="I58" i="127"/>
  <c r="I38" i="127"/>
  <c r="I39" i="127"/>
  <c r="I40" i="127"/>
  <c r="I41" i="127"/>
  <c r="I59" i="127"/>
  <c r="H7" i="67"/>
  <c r="H18" i="127"/>
  <c r="I18" i="127"/>
  <c r="H42" i="127"/>
  <c r="H20" i="127"/>
  <c r="I20" i="127"/>
  <c r="H44" i="127"/>
  <c r="H19" i="127"/>
  <c r="I19" i="127"/>
  <c r="H43" i="127"/>
  <c r="H21" i="127"/>
  <c r="I21" i="127"/>
  <c r="H45" i="127"/>
  <c r="H22" i="127"/>
  <c r="I22" i="127"/>
  <c r="H46" i="127"/>
  <c r="H23" i="127"/>
  <c r="I23" i="127"/>
  <c r="H47" i="127"/>
  <c r="H24" i="127"/>
  <c r="I24" i="127"/>
  <c r="H48" i="127"/>
  <c r="H25" i="127"/>
  <c r="I25" i="127"/>
  <c r="H49" i="127"/>
  <c r="H26" i="127"/>
  <c r="I26" i="127"/>
  <c r="H50" i="127"/>
  <c r="H27" i="127"/>
  <c r="I27" i="127"/>
  <c r="H51" i="127"/>
  <c r="H28" i="127"/>
  <c r="I28" i="127"/>
  <c r="H52" i="127"/>
  <c r="H29" i="127"/>
  <c r="I29" i="127"/>
  <c r="H53" i="127"/>
  <c r="H30" i="127"/>
  <c r="I30" i="127"/>
  <c r="H54" i="127"/>
  <c r="H31" i="127"/>
  <c r="I31" i="127"/>
  <c r="H55" i="127"/>
  <c r="H32" i="127"/>
  <c r="I32" i="127"/>
  <c r="H56" i="127"/>
  <c r="H33" i="127"/>
  <c r="I33" i="127"/>
  <c r="H57" i="127"/>
  <c r="H34" i="127"/>
  <c r="I34" i="127"/>
  <c r="H58" i="127"/>
  <c r="H14" i="127"/>
  <c r="I14" i="127"/>
  <c r="H38" i="127"/>
  <c r="H15" i="127"/>
  <c r="I15" i="127"/>
  <c r="H39" i="127"/>
  <c r="H16" i="127"/>
  <c r="I16" i="127"/>
  <c r="H40" i="127"/>
  <c r="H17" i="127"/>
  <c r="I17" i="127"/>
  <c r="H41" i="127"/>
  <c r="H59" i="127"/>
  <c r="G7" i="67"/>
  <c r="G42" i="127"/>
  <c r="G44" i="127"/>
  <c r="G45" i="127"/>
  <c r="G47" i="127"/>
  <c r="G49" i="127"/>
  <c r="G51" i="127"/>
  <c r="G56" i="127"/>
  <c r="G58" i="127"/>
  <c r="G38" i="127"/>
  <c r="G39" i="127"/>
  <c r="G40" i="127"/>
  <c r="G41" i="127"/>
  <c r="G43" i="127"/>
  <c r="G46" i="127"/>
  <c r="G48" i="127"/>
  <c r="G50" i="127"/>
  <c r="G52" i="127"/>
  <c r="G53" i="127"/>
  <c r="G54" i="127"/>
  <c r="G55" i="127"/>
  <c r="G57" i="127"/>
  <c r="G59" i="127"/>
  <c r="F7" i="67"/>
  <c r="F42" i="127"/>
  <c r="F44" i="127"/>
  <c r="F43" i="127"/>
  <c r="F45" i="127"/>
  <c r="F46" i="127"/>
  <c r="F47" i="127"/>
  <c r="F48" i="127"/>
  <c r="F49" i="127"/>
  <c r="F50" i="127"/>
  <c r="F51" i="127"/>
  <c r="F52" i="127"/>
  <c r="F53" i="127"/>
  <c r="F54" i="127"/>
  <c r="F55" i="127"/>
  <c r="F56" i="127"/>
  <c r="F57" i="127"/>
  <c r="F58" i="127"/>
  <c r="F38" i="127"/>
  <c r="F39" i="127"/>
  <c r="F40" i="127"/>
  <c r="F41" i="127"/>
  <c r="F59" i="127"/>
  <c r="E7" i="67"/>
  <c r="E42" i="127"/>
  <c r="E44" i="127"/>
  <c r="E43" i="127"/>
  <c r="E45" i="127"/>
  <c r="E46" i="127"/>
  <c r="E47" i="127"/>
  <c r="E48" i="127"/>
  <c r="E49" i="127"/>
  <c r="E50" i="127"/>
  <c r="E51" i="127"/>
  <c r="E52" i="127"/>
  <c r="E53" i="127"/>
  <c r="E54" i="127"/>
  <c r="E55" i="127"/>
  <c r="E56" i="127"/>
  <c r="E57" i="127"/>
  <c r="E58" i="127"/>
  <c r="E38" i="127"/>
  <c r="E39" i="127"/>
  <c r="E40" i="127"/>
  <c r="E41" i="127"/>
  <c r="E59" i="127"/>
  <c r="D7" i="67"/>
  <c r="D42" i="127"/>
  <c r="D44" i="127"/>
  <c r="D43" i="127"/>
  <c r="D45" i="127"/>
  <c r="D46" i="127"/>
  <c r="D47" i="127"/>
  <c r="D48" i="127"/>
  <c r="D49" i="127"/>
  <c r="D50" i="127"/>
  <c r="D51" i="127"/>
  <c r="D52" i="127"/>
  <c r="D53" i="127"/>
  <c r="D54" i="127"/>
  <c r="D55" i="127"/>
  <c r="D56" i="127"/>
  <c r="D57" i="127"/>
  <c r="D58" i="127"/>
  <c r="D38" i="127"/>
  <c r="D39" i="127"/>
  <c r="D40" i="127"/>
  <c r="D41" i="127"/>
  <c r="D59" i="127"/>
  <c r="C7" i="67"/>
  <c r="B25" i="16"/>
  <c r="B24" i="16"/>
  <c r="B23" i="16"/>
  <c r="B22" i="16"/>
  <c r="B21" i="16"/>
  <c r="B20" i="16"/>
  <c r="B19" i="16"/>
  <c r="B18" i="16"/>
  <c r="B17" i="16"/>
  <c r="B16" i="16"/>
  <c r="B15" i="16"/>
  <c r="B14" i="16"/>
  <c r="B13" i="16"/>
  <c r="B12" i="16"/>
  <c r="B11" i="16"/>
  <c r="B10" i="16"/>
  <c r="B9" i="16"/>
  <c r="B8" i="16"/>
  <c r="B7" i="16"/>
  <c r="B6" i="16"/>
  <c r="B5" i="16"/>
  <c r="N44" i="140"/>
  <c r="N43" i="140"/>
  <c r="B34" i="140"/>
  <c r="B33" i="140"/>
  <c r="B32" i="140"/>
  <c r="B31" i="140"/>
  <c r="B30" i="140"/>
  <c r="B29" i="140"/>
  <c r="B28" i="140"/>
  <c r="B27" i="140"/>
  <c r="B26" i="140"/>
  <c r="B25" i="140"/>
  <c r="B24" i="140"/>
  <c r="B23" i="140"/>
  <c r="B22" i="140"/>
  <c r="B21" i="140"/>
  <c r="B20" i="140"/>
  <c r="B19" i="140"/>
  <c r="B18" i="140"/>
  <c r="B17" i="140"/>
  <c r="B16" i="140"/>
  <c r="B15" i="140"/>
  <c r="B14" i="140"/>
  <c r="N44" i="139"/>
  <c r="N43" i="139"/>
  <c r="B34" i="139"/>
  <c r="B33" i="139"/>
  <c r="B32" i="139"/>
  <c r="B31" i="139"/>
  <c r="B30" i="139"/>
  <c r="B29" i="139"/>
  <c r="B28" i="139"/>
  <c r="B27" i="139"/>
  <c r="B26" i="139"/>
  <c r="B25" i="139"/>
  <c r="B24" i="139"/>
  <c r="B23" i="139"/>
  <c r="B22" i="139"/>
  <c r="B21" i="139"/>
  <c r="B20" i="139"/>
  <c r="B19" i="139"/>
  <c r="B18" i="139"/>
  <c r="B17" i="139"/>
  <c r="B16" i="139"/>
  <c r="B15" i="139"/>
  <c r="B14" i="139"/>
  <c r="N44" i="138"/>
  <c r="N43" i="138"/>
  <c r="B34" i="138"/>
  <c r="B33" i="138"/>
  <c r="B32" i="138"/>
  <c r="B31" i="138"/>
  <c r="B30" i="138"/>
  <c r="B29" i="138"/>
  <c r="B28" i="138"/>
  <c r="B27" i="138"/>
  <c r="B26" i="138"/>
  <c r="B25" i="138"/>
  <c r="B24" i="138"/>
  <c r="B23" i="138"/>
  <c r="B22" i="138"/>
  <c r="B21" i="138"/>
  <c r="B20" i="138"/>
  <c r="B19" i="138"/>
  <c r="B18" i="138"/>
  <c r="B17" i="138"/>
  <c r="B16" i="138"/>
  <c r="B15" i="138"/>
  <c r="B14" i="138"/>
  <c r="N44" i="137"/>
  <c r="N43" i="137"/>
  <c r="B34" i="137"/>
  <c r="B33" i="137"/>
  <c r="B32" i="137"/>
  <c r="B31" i="137"/>
  <c r="B30" i="137"/>
  <c r="B29" i="137"/>
  <c r="B28" i="137"/>
  <c r="B27" i="137"/>
  <c r="B26" i="137"/>
  <c r="B25" i="137"/>
  <c r="B24" i="137"/>
  <c r="B23" i="137"/>
  <c r="B22" i="137"/>
  <c r="B21" i="137"/>
  <c r="B20" i="137"/>
  <c r="B19" i="137"/>
  <c r="B18" i="137"/>
  <c r="B17" i="137"/>
  <c r="B16" i="137"/>
  <c r="B15" i="137"/>
  <c r="B14" i="137"/>
  <c r="N44" i="136"/>
  <c r="N43" i="136"/>
  <c r="B34" i="136"/>
  <c r="B33" i="136"/>
  <c r="B32" i="136"/>
  <c r="B31" i="136"/>
  <c r="B30" i="136"/>
  <c r="B29" i="136"/>
  <c r="B28" i="136"/>
  <c r="B27" i="136"/>
  <c r="B26" i="136"/>
  <c r="B25" i="136"/>
  <c r="B24" i="136"/>
  <c r="B23" i="136"/>
  <c r="B22" i="136"/>
  <c r="B21" i="136"/>
  <c r="B20" i="136"/>
  <c r="B19" i="136"/>
  <c r="B18" i="136"/>
  <c r="B17" i="136"/>
  <c r="B16" i="136"/>
  <c r="B15" i="136"/>
  <c r="B14" i="136"/>
  <c r="N44" i="151"/>
  <c r="N43" i="151"/>
  <c r="B34" i="151"/>
  <c r="B33" i="151"/>
  <c r="B32" i="151"/>
  <c r="B31" i="151"/>
  <c r="B30" i="151"/>
  <c r="B29" i="151"/>
  <c r="B28" i="151"/>
  <c r="B27" i="151"/>
  <c r="B26" i="151"/>
  <c r="B25" i="151"/>
  <c r="B24" i="151"/>
  <c r="B23" i="151"/>
  <c r="B22" i="151"/>
  <c r="B21" i="151"/>
  <c r="B20" i="151"/>
  <c r="B19" i="151"/>
  <c r="B18" i="151"/>
  <c r="B17" i="151"/>
  <c r="B16" i="151"/>
  <c r="B15" i="151"/>
  <c r="B14" i="151"/>
  <c r="N44" i="150"/>
  <c r="N43" i="150"/>
  <c r="B34" i="150"/>
  <c r="B33" i="150"/>
  <c r="B32" i="150"/>
  <c r="B31" i="150"/>
  <c r="B30" i="150"/>
  <c r="B29" i="150"/>
  <c r="B28" i="150"/>
  <c r="B27" i="150"/>
  <c r="B26" i="150"/>
  <c r="B25" i="150"/>
  <c r="B24" i="150"/>
  <c r="B23" i="150"/>
  <c r="B22" i="150"/>
  <c r="B21" i="150"/>
  <c r="B20" i="150"/>
  <c r="B19" i="150"/>
  <c r="B18" i="150"/>
  <c r="B17" i="150"/>
  <c r="B16" i="150"/>
  <c r="B15" i="150"/>
  <c r="B14" i="150"/>
  <c r="N44" i="149"/>
  <c r="N43" i="149"/>
  <c r="B34" i="149"/>
  <c r="B33" i="149"/>
  <c r="B32" i="149"/>
  <c r="B31" i="149"/>
  <c r="B30" i="149"/>
  <c r="B29" i="149"/>
  <c r="B28" i="149"/>
  <c r="B27" i="149"/>
  <c r="B26" i="149"/>
  <c r="B25" i="149"/>
  <c r="B24" i="149"/>
  <c r="B23" i="149"/>
  <c r="B22" i="149"/>
  <c r="B21" i="149"/>
  <c r="B20" i="149"/>
  <c r="B19" i="149"/>
  <c r="B18" i="149"/>
  <c r="B17" i="149"/>
  <c r="B16" i="149"/>
  <c r="B15" i="149"/>
  <c r="B14" i="149"/>
  <c r="N44" i="148"/>
  <c r="N43" i="148"/>
  <c r="B34" i="148"/>
  <c r="B33" i="148"/>
  <c r="B32" i="148"/>
  <c r="B31" i="148"/>
  <c r="B30" i="148"/>
  <c r="B29" i="148"/>
  <c r="B28" i="148"/>
  <c r="B27" i="148"/>
  <c r="B26" i="148"/>
  <c r="B25" i="148"/>
  <c r="B24" i="148"/>
  <c r="B23" i="148"/>
  <c r="B22" i="148"/>
  <c r="B21" i="148"/>
  <c r="B20" i="148"/>
  <c r="B19" i="148"/>
  <c r="B18" i="148"/>
  <c r="B17" i="148"/>
  <c r="B16" i="148"/>
  <c r="B15" i="148"/>
  <c r="B14" i="148"/>
  <c r="N44" i="147"/>
  <c r="N43" i="147"/>
  <c r="B34" i="147"/>
  <c r="B33" i="147"/>
  <c r="B32" i="147"/>
  <c r="B31" i="147"/>
  <c r="B30" i="147"/>
  <c r="B29" i="147"/>
  <c r="B28" i="147"/>
  <c r="B27" i="147"/>
  <c r="B26" i="147"/>
  <c r="B25" i="147"/>
  <c r="B24" i="147"/>
  <c r="B23" i="147"/>
  <c r="B22" i="147"/>
  <c r="B21" i="147"/>
  <c r="B20" i="147"/>
  <c r="B19" i="147"/>
  <c r="B18" i="147"/>
  <c r="B17" i="147"/>
  <c r="B16" i="147"/>
  <c r="B15" i="147"/>
  <c r="B14" i="147"/>
  <c r="N44" i="146"/>
  <c r="N43" i="146"/>
  <c r="B34" i="146"/>
  <c r="B33" i="146"/>
  <c r="B32" i="146"/>
  <c r="B31" i="146"/>
  <c r="B30" i="146"/>
  <c r="B29" i="146"/>
  <c r="B28" i="146"/>
  <c r="B27" i="146"/>
  <c r="B26" i="146"/>
  <c r="B25" i="146"/>
  <c r="B24" i="146"/>
  <c r="B23" i="146"/>
  <c r="B22" i="146"/>
  <c r="B21" i="146"/>
  <c r="B20" i="146"/>
  <c r="B19" i="146"/>
  <c r="B18" i="146"/>
  <c r="B17" i="146"/>
  <c r="B16" i="146"/>
  <c r="B15" i="146"/>
  <c r="B14" i="146"/>
  <c r="N44" i="145"/>
  <c r="N43" i="145"/>
  <c r="B34" i="145"/>
  <c r="B33" i="145"/>
  <c r="B32" i="145"/>
  <c r="B31" i="145"/>
  <c r="B30" i="145"/>
  <c r="B29" i="145"/>
  <c r="B28" i="145"/>
  <c r="B27" i="145"/>
  <c r="B26" i="145"/>
  <c r="B25" i="145"/>
  <c r="B24" i="145"/>
  <c r="B23" i="145"/>
  <c r="B22" i="145"/>
  <c r="B21" i="145"/>
  <c r="B20" i="145"/>
  <c r="B19" i="145"/>
  <c r="B18" i="145"/>
  <c r="B17" i="145"/>
  <c r="B16" i="145"/>
  <c r="B15" i="145"/>
  <c r="B14" i="145"/>
  <c r="N44" i="144"/>
  <c r="N43" i="144"/>
  <c r="B34" i="144"/>
  <c r="B33" i="144"/>
  <c r="B32" i="144"/>
  <c r="B31" i="144"/>
  <c r="B30" i="144"/>
  <c r="B29" i="144"/>
  <c r="B28" i="144"/>
  <c r="B27" i="144"/>
  <c r="B26" i="144"/>
  <c r="B25" i="144"/>
  <c r="B24" i="144"/>
  <c r="B23" i="144"/>
  <c r="B22" i="144"/>
  <c r="B21" i="144"/>
  <c r="B20" i="144"/>
  <c r="B19" i="144"/>
  <c r="B18" i="144"/>
  <c r="B17" i="144"/>
  <c r="B16" i="144"/>
  <c r="B15" i="144"/>
  <c r="B14" i="144"/>
  <c r="N44" i="143"/>
  <c r="N43" i="143"/>
  <c r="B34" i="143"/>
  <c r="B33" i="143"/>
  <c r="B32" i="143"/>
  <c r="B31" i="143"/>
  <c r="B30" i="143"/>
  <c r="B29" i="143"/>
  <c r="B28" i="143"/>
  <c r="B27" i="143"/>
  <c r="B26" i="143"/>
  <c r="B25" i="143"/>
  <c r="B24" i="143"/>
  <c r="B23" i="143"/>
  <c r="B22" i="143"/>
  <c r="B21" i="143"/>
  <c r="B20" i="143"/>
  <c r="B19" i="143"/>
  <c r="B18" i="143"/>
  <c r="B17" i="143"/>
  <c r="B16" i="143"/>
  <c r="B15" i="143"/>
  <c r="B14" i="143"/>
  <c r="N44" i="142"/>
  <c r="N43" i="142"/>
  <c r="B34" i="142"/>
  <c r="B33" i="142"/>
  <c r="B32" i="142"/>
  <c r="B31" i="142"/>
  <c r="B30" i="142"/>
  <c r="B29" i="142"/>
  <c r="B28" i="142"/>
  <c r="B27" i="142"/>
  <c r="B26" i="142"/>
  <c r="B25" i="142"/>
  <c r="B24" i="142"/>
  <c r="B23" i="142"/>
  <c r="B22" i="142"/>
  <c r="B21" i="142"/>
  <c r="B20" i="142"/>
  <c r="B19" i="142"/>
  <c r="B18" i="142"/>
  <c r="B17" i="142"/>
  <c r="B16" i="142"/>
  <c r="B15" i="142"/>
  <c r="B14" i="142"/>
  <c r="N44" i="135"/>
  <c r="N43" i="135"/>
  <c r="B34" i="135"/>
  <c r="B33" i="135"/>
  <c r="B32" i="135"/>
  <c r="B31" i="135"/>
  <c r="B30" i="135"/>
  <c r="B29" i="135"/>
  <c r="B28" i="135"/>
  <c r="B27" i="135"/>
  <c r="B26" i="135"/>
  <c r="B25" i="135"/>
  <c r="B24" i="135"/>
  <c r="B23" i="135"/>
  <c r="B22" i="135"/>
  <c r="B21" i="135"/>
  <c r="B20" i="135"/>
  <c r="B19" i="135"/>
  <c r="B18" i="135"/>
  <c r="B17" i="135"/>
  <c r="B16" i="135"/>
  <c r="B15" i="135"/>
  <c r="B14" i="135"/>
  <c r="N44" i="134"/>
  <c r="N43" i="134"/>
  <c r="B34" i="134"/>
  <c r="B33" i="134"/>
  <c r="B32" i="134"/>
  <c r="B31" i="134"/>
  <c r="B30" i="134"/>
  <c r="B29" i="134"/>
  <c r="B28" i="134"/>
  <c r="B27" i="134"/>
  <c r="B26" i="134"/>
  <c r="B25" i="134"/>
  <c r="B24" i="134"/>
  <c r="B23" i="134"/>
  <c r="B22" i="134"/>
  <c r="B21" i="134"/>
  <c r="B20" i="134"/>
  <c r="B19" i="134"/>
  <c r="B18" i="134"/>
  <c r="B17" i="134"/>
  <c r="B16" i="134"/>
  <c r="B15" i="134"/>
  <c r="B14" i="134"/>
  <c r="N44" i="128"/>
  <c r="N43" i="128"/>
  <c r="B34" i="128"/>
  <c r="B33" i="128"/>
  <c r="B32" i="128"/>
  <c r="B31" i="128"/>
  <c r="B30" i="128"/>
  <c r="B29" i="128"/>
  <c r="B28" i="128"/>
  <c r="B27" i="128"/>
  <c r="B26" i="128"/>
  <c r="B25" i="128"/>
  <c r="B24" i="128"/>
  <c r="B23" i="128"/>
  <c r="B22" i="128"/>
  <c r="B21" i="128"/>
  <c r="B20" i="128"/>
  <c r="B19" i="128"/>
  <c r="B18" i="128"/>
  <c r="B17" i="128"/>
  <c r="B16" i="128"/>
  <c r="B15" i="128"/>
  <c r="B14" i="128"/>
  <c r="N44" i="127"/>
  <c r="N43" i="127"/>
  <c r="B34" i="127"/>
  <c r="B33" i="127"/>
  <c r="B32" i="127"/>
  <c r="B31" i="127"/>
  <c r="B30" i="127"/>
  <c r="B29" i="127"/>
  <c r="B28" i="127"/>
  <c r="B27" i="127"/>
  <c r="B26" i="127"/>
  <c r="B25" i="127"/>
  <c r="B24" i="127"/>
  <c r="B23" i="127"/>
  <c r="B22" i="127"/>
  <c r="B21" i="127"/>
  <c r="B20" i="127"/>
  <c r="B19" i="127"/>
  <c r="B18" i="127"/>
  <c r="B17" i="127"/>
  <c r="B16" i="127"/>
  <c r="B15" i="127"/>
  <c r="B14" i="127"/>
  <c r="K25" i="127"/>
  <c r="O25" i="127"/>
  <c r="K27" i="127"/>
  <c r="O27" i="127"/>
  <c r="K32" i="127"/>
  <c r="O32" i="127"/>
  <c r="K31" i="127"/>
  <c r="O31" i="127"/>
  <c r="K34" i="127"/>
  <c r="O34" i="127"/>
  <c r="O41" i="127"/>
  <c r="K34" i="151"/>
  <c r="O34" i="151"/>
  <c r="K33" i="151"/>
  <c r="O33" i="151"/>
  <c r="K32" i="151"/>
  <c r="O32" i="151"/>
  <c r="K31" i="151"/>
  <c r="O31" i="151"/>
  <c r="K30" i="151"/>
  <c r="O30" i="151"/>
  <c r="K29" i="151"/>
  <c r="O29" i="151"/>
  <c r="K28" i="151"/>
  <c r="O28" i="151"/>
  <c r="K27" i="151"/>
  <c r="O27" i="151"/>
  <c r="K26" i="151"/>
  <c r="O26" i="151"/>
  <c r="K25" i="151"/>
  <c r="O25" i="151"/>
  <c r="K24" i="151"/>
  <c r="O24" i="151"/>
  <c r="K23" i="151"/>
  <c r="O23" i="151"/>
  <c r="K21" i="151"/>
  <c r="O21" i="151"/>
  <c r="K20" i="151"/>
  <c r="O20" i="151"/>
  <c r="K17" i="151"/>
  <c r="O17" i="151"/>
  <c r="K16" i="151"/>
  <c r="O16" i="151"/>
  <c r="O10" i="151"/>
  <c r="O9" i="151"/>
  <c r="O8" i="151"/>
  <c r="O7" i="151"/>
  <c r="O62" i="151"/>
  <c r="O6" i="151"/>
  <c r="O5" i="151"/>
  <c r="O4" i="151"/>
  <c r="O3" i="151"/>
  <c r="K34" i="150"/>
  <c r="O34" i="150"/>
  <c r="K33" i="150"/>
  <c r="O33" i="150"/>
  <c r="K32" i="150"/>
  <c r="O32" i="150"/>
  <c r="K31" i="150"/>
  <c r="O31" i="150"/>
  <c r="K30" i="150"/>
  <c r="O30" i="150"/>
  <c r="K29" i="150"/>
  <c r="O29" i="150"/>
  <c r="K28" i="150"/>
  <c r="O28" i="150"/>
  <c r="K27" i="150"/>
  <c r="O27" i="150"/>
  <c r="K26" i="150"/>
  <c r="K25" i="150"/>
  <c r="O25" i="150"/>
  <c r="K24" i="150"/>
  <c r="O24" i="150"/>
  <c r="K23" i="150"/>
  <c r="O23" i="150"/>
  <c r="K21" i="150"/>
  <c r="O21" i="150"/>
  <c r="K20" i="150"/>
  <c r="O20" i="150"/>
  <c r="K17" i="150"/>
  <c r="O17" i="150"/>
  <c r="K16" i="150"/>
  <c r="O16" i="150"/>
  <c r="Q16" i="150"/>
  <c r="O46" i="150"/>
  <c r="O10" i="150"/>
  <c r="O9" i="150"/>
  <c r="O8" i="150"/>
  <c r="O7" i="150"/>
  <c r="O62" i="150"/>
  <c r="P62" i="150"/>
  <c r="O6" i="150"/>
  <c r="O5" i="150"/>
  <c r="O4" i="150"/>
  <c r="O3" i="150"/>
  <c r="K26" i="149"/>
  <c r="O35" i="149"/>
  <c r="K34" i="149"/>
  <c r="O34" i="149"/>
  <c r="K33" i="149"/>
  <c r="O33" i="149"/>
  <c r="K32" i="149"/>
  <c r="O32" i="149"/>
  <c r="K31" i="149"/>
  <c r="O31" i="149"/>
  <c r="Q31" i="149"/>
  <c r="K30" i="149"/>
  <c r="O30" i="149"/>
  <c r="K29" i="149"/>
  <c r="O29" i="149"/>
  <c r="K28" i="149"/>
  <c r="O28" i="149"/>
  <c r="K27" i="149"/>
  <c r="O27" i="149"/>
  <c r="O26" i="149"/>
  <c r="Q26" i="149"/>
  <c r="K25" i="149"/>
  <c r="O25" i="149"/>
  <c r="K24" i="149"/>
  <c r="O24" i="149"/>
  <c r="K23" i="149"/>
  <c r="O23" i="149"/>
  <c r="Q23" i="149"/>
  <c r="Q22" i="149"/>
  <c r="K21" i="149"/>
  <c r="O21" i="149"/>
  <c r="K20" i="149"/>
  <c r="O20" i="149"/>
  <c r="Q19" i="149"/>
  <c r="K17" i="149"/>
  <c r="O17" i="149"/>
  <c r="K16" i="149"/>
  <c r="O16" i="149"/>
  <c r="O10" i="149"/>
  <c r="O9" i="149"/>
  <c r="O8" i="149"/>
  <c r="O7" i="149"/>
  <c r="O6" i="149"/>
  <c r="O5" i="149"/>
  <c r="O4" i="149"/>
  <c r="O3" i="149"/>
  <c r="K31" i="148"/>
  <c r="K25" i="148"/>
  <c r="O37" i="148"/>
  <c r="K30" i="148"/>
  <c r="K24" i="148"/>
  <c r="O36" i="148"/>
  <c r="Q36" i="148"/>
  <c r="K34" i="148"/>
  <c r="O34" i="148"/>
  <c r="K33" i="148"/>
  <c r="O33" i="148"/>
  <c r="K32" i="148"/>
  <c r="O32" i="148"/>
  <c r="K27" i="148"/>
  <c r="O27" i="148"/>
  <c r="O31" i="148"/>
  <c r="O25" i="148"/>
  <c r="O41" i="148"/>
  <c r="O30" i="148"/>
  <c r="Q30" i="148"/>
  <c r="K29" i="148"/>
  <c r="O29" i="148"/>
  <c r="K28" i="148"/>
  <c r="O28" i="148"/>
  <c r="Q27" i="148"/>
  <c r="K26" i="148"/>
  <c r="O26" i="148"/>
  <c r="Q26" i="148"/>
  <c r="O35" i="148"/>
  <c r="O24" i="148"/>
  <c r="K23" i="148"/>
  <c r="O23" i="148"/>
  <c r="Q23" i="148"/>
  <c r="K21" i="148"/>
  <c r="O21" i="148"/>
  <c r="K20" i="148"/>
  <c r="O20" i="148"/>
  <c r="Q19" i="148"/>
  <c r="Q18" i="148"/>
  <c r="K17" i="148"/>
  <c r="O17" i="148"/>
  <c r="K16" i="148"/>
  <c r="O16" i="148"/>
  <c r="P59" i="148"/>
  <c r="O59" i="148"/>
  <c r="O10" i="148"/>
  <c r="O9" i="148"/>
  <c r="O8" i="148"/>
  <c r="O7" i="148"/>
  <c r="O6" i="148"/>
  <c r="O5" i="148"/>
  <c r="O4" i="148"/>
  <c r="O3" i="148"/>
  <c r="K31" i="147"/>
  <c r="K25" i="147"/>
  <c r="O37" i="147"/>
  <c r="K34" i="147"/>
  <c r="O34" i="147"/>
  <c r="Q34" i="147"/>
  <c r="K33" i="147"/>
  <c r="O33" i="147"/>
  <c r="Q33" i="147"/>
  <c r="K32" i="147"/>
  <c r="O32" i="147"/>
  <c r="O31" i="147"/>
  <c r="K30" i="147"/>
  <c r="O30" i="147"/>
  <c r="Q30" i="147"/>
  <c r="K24" i="147"/>
  <c r="O36" i="147"/>
  <c r="K29" i="147"/>
  <c r="O29" i="147"/>
  <c r="K28" i="147"/>
  <c r="O28" i="147"/>
  <c r="O48" i="147"/>
  <c r="K27" i="147"/>
  <c r="O27" i="147"/>
  <c r="Q27" i="147"/>
  <c r="K26" i="147"/>
  <c r="O26" i="147"/>
  <c r="Q26" i="147"/>
  <c r="O25" i="147"/>
  <c r="Q25" i="147"/>
  <c r="O24" i="147"/>
  <c r="Q24" i="147"/>
  <c r="K23" i="147"/>
  <c r="O23" i="147"/>
  <c r="Q23" i="147"/>
  <c r="Q22" i="147"/>
  <c r="K21" i="147"/>
  <c r="O21" i="147"/>
  <c r="K20" i="147"/>
  <c r="O20" i="147"/>
  <c r="Q20" i="147"/>
  <c r="Q19" i="147"/>
  <c r="O35" i="147"/>
  <c r="Q35" i="147"/>
  <c r="K17" i="147"/>
  <c r="O17" i="147"/>
  <c r="Q17" i="147"/>
  <c r="K16" i="147"/>
  <c r="O16" i="147"/>
  <c r="Q16" i="147"/>
  <c r="Q32" i="147"/>
  <c r="O46" i="147"/>
  <c r="O10" i="147"/>
  <c r="O9" i="147"/>
  <c r="O8" i="147"/>
  <c r="O7" i="147"/>
  <c r="O6" i="147"/>
  <c r="O5" i="147"/>
  <c r="O4" i="147"/>
  <c r="O3" i="147"/>
  <c r="K34" i="146"/>
  <c r="O34" i="146"/>
  <c r="Q34" i="146"/>
  <c r="K33" i="146"/>
  <c r="O33" i="146"/>
  <c r="Q33" i="146"/>
  <c r="K32" i="146"/>
  <c r="O32" i="146"/>
  <c r="K31" i="146"/>
  <c r="O31" i="146"/>
  <c r="Q31" i="146"/>
  <c r="K30" i="146"/>
  <c r="O30" i="146"/>
  <c r="Q30" i="146"/>
  <c r="K29" i="146"/>
  <c r="O29" i="146"/>
  <c r="Q29" i="146"/>
  <c r="K28" i="146"/>
  <c r="O28" i="146"/>
  <c r="K27" i="146"/>
  <c r="O27" i="146"/>
  <c r="Q27" i="146"/>
  <c r="K26" i="146"/>
  <c r="O26" i="146"/>
  <c r="Q26" i="146"/>
  <c r="K25" i="146"/>
  <c r="O25" i="146"/>
  <c r="Q25" i="146"/>
  <c r="K24" i="146"/>
  <c r="O24" i="146"/>
  <c r="Q24" i="146"/>
  <c r="K23" i="146"/>
  <c r="O23" i="146"/>
  <c r="Q23" i="146"/>
  <c r="Q22" i="146"/>
  <c r="K21" i="146"/>
  <c r="O21" i="146"/>
  <c r="Q21" i="146"/>
  <c r="K20" i="146"/>
  <c r="O20" i="146"/>
  <c r="Q20" i="146"/>
  <c r="Q19" i="146"/>
  <c r="K17" i="146"/>
  <c r="O17" i="146"/>
  <c r="Q17" i="146"/>
  <c r="K16" i="146"/>
  <c r="O16" i="146"/>
  <c r="Q16" i="146"/>
  <c r="O10" i="146"/>
  <c r="O9" i="146"/>
  <c r="O8" i="146"/>
  <c r="O7" i="146"/>
  <c r="O6" i="146"/>
  <c r="O5" i="146"/>
  <c r="O4" i="146"/>
  <c r="O3" i="146"/>
  <c r="K31" i="145"/>
  <c r="K25" i="145"/>
  <c r="O37" i="145"/>
  <c r="K34" i="145"/>
  <c r="O34" i="145"/>
  <c r="K33" i="145"/>
  <c r="O33" i="145"/>
  <c r="K32" i="145"/>
  <c r="O32" i="145"/>
  <c r="O31" i="145"/>
  <c r="K30" i="145"/>
  <c r="O30" i="145"/>
  <c r="K24" i="145"/>
  <c r="O36" i="145"/>
  <c r="Q36" i="145"/>
  <c r="K29" i="145"/>
  <c r="O29" i="145"/>
  <c r="K28" i="145"/>
  <c r="O28" i="145"/>
  <c r="K27" i="145"/>
  <c r="O27" i="145"/>
  <c r="K26" i="145"/>
  <c r="O26" i="145"/>
  <c r="O35" i="145"/>
  <c r="O25" i="145"/>
  <c r="O24" i="145"/>
  <c r="K23" i="145"/>
  <c r="O23" i="145"/>
  <c r="K21" i="145"/>
  <c r="O21" i="145"/>
  <c r="K20" i="145"/>
  <c r="O20" i="145"/>
  <c r="Q19" i="145"/>
  <c r="K17" i="145"/>
  <c r="O17" i="145"/>
  <c r="K16" i="145"/>
  <c r="O16" i="145"/>
  <c r="O10" i="145"/>
  <c r="O9" i="145"/>
  <c r="O8" i="145"/>
  <c r="O7" i="145"/>
  <c r="O6" i="145"/>
  <c r="O5" i="145"/>
  <c r="O4" i="145"/>
  <c r="O3" i="145"/>
  <c r="K34" i="144"/>
  <c r="O34" i="144"/>
  <c r="Q34" i="144"/>
  <c r="K33" i="144"/>
  <c r="O33" i="144"/>
  <c r="Q33" i="144"/>
  <c r="K32" i="144"/>
  <c r="O32" i="144"/>
  <c r="K31" i="144"/>
  <c r="K25" i="144"/>
  <c r="O37" i="144"/>
  <c r="Q37" i="144"/>
  <c r="K30" i="144"/>
  <c r="O30" i="144"/>
  <c r="Q30" i="144"/>
  <c r="K29" i="144"/>
  <c r="O29" i="144"/>
  <c r="Q29" i="144"/>
  <c r="K28" i="144"/>
  <c r="O28" i="144"/>
  <c r="O48" i="144"/>
  <c r="K27" i="144"/>
  <c r="O27" i="144"/>
  <c r="Q27" i="144"/>
  <c r="K26" i="144"/>
  <c r="O35" i="144"/>
  <c r="O25" i="144"/>
  <c r="Q25" i="144"/>
  <c r="K24" i="144"/>
  <c r="O36" i="144"/>
  <c r="Q36" i="144"/>
  <c r="K23" i="144"/>
  <c r="O23" i="144"/>
  <c r="Q23" i="144"/>
  <c r="Q22" i="144"/>
  <c r="K21" i="144"/>
  <c r="O21" i="144"/>
  <c r="Q21" i="144"/>
  <c r="K20" i="144"/>
  <c r="O20" i="144"/>
  <c r="Q20" i="144"/>
  <c r="Q19" i="144"/>
  <c r="K17" i="144"/>
  <c r="O17" i="144"/>
  <c r="Q17" i="144"/>
  <c r="K16" i="144"/>
  <c r="O16" i="144"/>
  <c r="Q16" i="144"/>
  <c r="O10" i="144"/>
  <c r="O9" i="144"/>
  <c r="O8" i="144"/>
  <c r="O7" i="144"/>
  <c r="O6" i="144"/>
  <c r="O5" i="144"/>
  <c r="O4" i="144"/>
  <c r="O3" i="144"/>
  <c r="K34" i="143"/>
  <c r="O34" i="143"/>
  <c r="Q34" i="143"/>
  <c r="K33" i="143"/>
  <c r="O33" i="143"/>
  <c r="Q33" i="143"/>
  <c r="K32" i="143"/>
  <c r="O32" i="143"/>
  <c r="K31" i="143"/>
  <c r="O31" i="143"/>
  <c r="Q31" i="143"/>
  <c r="K30" i="143"/>
  <c r="O30" i="143"/>
  <c r="Q30" i="143"/>
  <c r="K29" i="143"/>
  <c r="O29" i="143"/>
  <c r="Q29" i="143"/>
  <c r="K28" i="143"/>
  <c r="O28" i="143"/>
  <c r="K27" i="143"/>
  <c r="O27" i="143"/>
  <c r="Q27" i="143"/>
  <c r="K26" i="143"/>
  <c r="O26" i="143"/>
  <c r="Q26" i="143"/>
  <c r="K25" i="143"/>
  <c r="O25" i="143"/>
  <c r="Q25" i="143"/>
  <c r="K24" i="143"/>
  <c r="O24" i="143"/>
  <c r="Q24" i="143"/>
  <c r="K23" i="143"/>
  <c r="O23" i="143"/>
  <c r="Q23" i="143"/>
  <c r="Q22" i="143"/>
  <c r="K21" i="143"/>
  <c r="O21" i="143"/>
  <c r="Q21" i="143"/>
  <c r="K20" i="143"/>
  <c r="O20" i="143"/>
  <c r="Q20" i="143"/>
  <c r="Q19" i="143"/>
  <c r="K17" i="143"/>
  <c r="O17" i="143"/>
  <c r="Q17" i="143"/>
  <c r="K16" i="143"/>
  <c r="O16" i="143"/>
  <c r="Q16" i="143"/>
  <c r="P59" i="143"/>
  <c r="O59" i="143"/>
  <c r="Q14" i="143"/>
  <c r="O10" i="143"/>
  <c r="O9" i="143"/>
  <c r="O8" i="143"/>
  <c r="O7" i="143"/>
  <c r="O62" i="143"/>
  <c r="O6" i="143"/>
  <c r="O5" i="143"/>
  <c r="O4" i="143"/>
  <c r="O3" i="143"/>
  <c r="K34" i="142"/>
  <c r="O34" i="142"/>
  <c r="K33" i="142"/>
  <c r="O33" i="142"/>
  <c r="K32" i="142"/>
  <c r="O32" i="142"/>
  <c r="K31" i="142"/>
  <c r="K25" i="142"/>
  <c r="O37" i="142"/>
  <c r="K30" i="142"/>
  <c r="O30" i="142"/>
  <c r="K29" i="142"/>
  <c r="O29" i="142"/>
  <c r="K28" i="142"/>
  <c r="O28" i="142"/>
  <c r="K27" i="142"/>
  <c r="O27" i="142"/>
  <c r="K26" i="142"/>
  <c r="O35" i="142"/>
  <c r="O25" i="142"/>
  <c r="K24" i="142"/>
  <c r="O24" i="142"/>
  <c r="K23" i="142"/>
  <c r="O23" i="142"/>
  <c r="K21" i="142"/>
  <c r="O21" i="142"/>
  <c r="K20" i="142"/>
  <c r="O20" i="142"/>
  <c r="K17" i="142"/>
  <c r="O17" i="142"/>
  <c r="K16" i="142"/>
  <c r="O16" i="142"/>
  <c r="O10" i="142"/>
  <c r="O9" i="142"/>
  <c r="O8" i="142"/>
  <c r="O7" i="142"/>
  <c r="O62" i="142"/>
  <c r="O6" i="142"/>
  <c r="O5" i="142"/>
  <c r="O4" i="142"/>
  <c r="O3" i="142"/>
  <c r="K31" i="140"/>
  <c r="K25" i="140"/>
  <c r="O37" i="140"/>
  <c r="K34" i="140"/>
  <c r="O34" i="140"/>
  <c r="K33" i="140"/>
  <c r="O33" i="140"/>
  <c r="K32" i="140"/>
  <c r="O32" i="140"/>
  <c r="O31" i="140"/>
  <c r="K30" i="140"/>
  <c r="O30" i="140"/>
  <c r="K29" i="140"/>
  <c r="O29" i="140"/>
  <c r="K28" i="140"/>
  <c r="O28" i="140"/>
  <c r="K27" i="140"/>
  <c r="O27" i="140"/>
  <c r="K26" i="140"/>
  <c r="O25" i="140"/>
  <c r="K24" i="140"/>
  <c r="O24" i="140"/>
  <c r="K23" i="140"/>
  <c r="O23" i="140"/>
  <c r="K21" i="140"/>
  <c r="O21" i="140"/>
  <c r="K20" i="140"/>
  <c r="O20" i="140"/>
  <c r="Q19" i="140"/>
  <c r="K17" i="140"/>
  <c r="O17" i="140"/>
  <c r="K16" i="140"/>
  <c r="O16" i="140"/>
  <c r="O10" i="140"/>
  <c r="O9" i="140"/>
  <c r="O8" i="140"/>
  <c r="O7" i="140"/>
  <c r="O6" i="140"/>
  <c r="O5" i="140"/>
  <c r="O4" i="140"/>
  <c r="O3" i="140"/>
  <c r="G58" i="139"/>
  <c r="F58" i="139"/>
  <c r="E58" i="139"/>
  <c r="G57" i="139"/>
  <c r="F57" i="139"/>
  <c r="E57" i="139"/>
  <c r="G56" i="139"/>
  <c r="F56" i="139"/>
  <c r="E56" i="139"/>
  <c r="G55" i="139"/>
  <c r="F55" i="139"/>
  <c r="E55" i="139"/>
  <c r="G54" i="139"/>
  <c r="F54" i="139"/>
  <c r="E54" i="139"/>
  <c r="G53" i="139"/>
  <c r="F53" i="139"/>
  <c r="E53" i="139"/>
  <c r="G52" i="139"/>
  <c r="F52" i="139"/>
  <c r="E52" i="139"/>
  <c r="G51" i="139"/>
  <c r="F51" i="139"/>
  <c r="E51" i="139"/>
  <c r="G50" i="139"/>
  <c r="F50" i="139"/>
  <c r="E50" i="139"/>
  <c r="G41" i="139"/>
  <c r="F41" i="139"/>
  <c r="E41" i="139"/>
  <c r="G40" i="139"/>
  <c r="F40" i="139"/>
  <c r="F38" i="139"/>
  <c r="F39" i="139"/>
  <c r="F59" i="139"/>
  <c r="E24" i="67"/>
  <c r="E40" i="139"/>
  <c r="G39" i="139"/>
  <c r="E39" i="139"/>
  <c r="G38" i="139"/>
  <c r="G59" i="139"/>
  <c r="F24" i="67"/>
  <c r="E38" i="139"/>
  <c r="K34" i="139"/>
  <c r="O34" i="139"/>
  <c r="Q34" i="139"/>
  <c r="K33" i="139"/>
  <c r="O33" i="139"/>
  <c r="Q33" i="139"/>
  <c r="K32" i="139"/>
  <c r="O32" i="139"/>
  <c r="K31" i="139"/>
  <c r="O31" i="139"/>
  <c r="K30" i="139"/>
  <c r="O30" i="139"/>
  <c r="Q30" i="139"/>
  <c r="K29" i="139"/>
  <c r="O29" i="139"/>
  <c r="K28" i="139"/>
  <c r="O28" i="139"/>
  <c r="K27" i="139"/>
  <c r="O27" i="139"/>
  <c r="K26" i="139"/>
  <c r="K25" i="139"/>
  <c r="O25" i="139"/>
  <c r="K24" i="139"/>
  <c r="O24" i="139"/>
  <c r="K23" i="139"/>
  <c r="O23" i="139"/>
  <c r="Q22" i="139"/>
  <c r="K21" i="139"/>
  <c r="O21" i="139"/>
  <c r="K20" i="139"/>
  <c r="O20" i="139"/>
  <c r="K17" i="139"/>
  <c r="O17" i="139"/>
  <c r="Q17" i="139"/>
  <c r="K16" i="139"/>
  <c r="O16" i="139"/>
  <c r="O10" i="139"/>
  <c r="O9" i="139"/>
  <c r="O8" i="139"/>
  <c r="O7" i="139"/>
  <c r="O6" i="139"/>
  <c r="O5" i="139"/>
  <c r="O4" i="139"/>
  <c r="O3" i="139"/>
  <c r="K31" i="138"/>
  <c r="K25" i="138"/>
  <c r="O37" i="138"/>
  <c r="K26" i="138"/>
  <c r="O35" i="138"/>
  <c r="K34" i="138"/>
  <c r="O34" i="138"/>
  <c r="K33" i="138"/>
  <c r="O33" i="138"/>
  <c r="K32" i="138"/>
  <c r="O32" i="138"/>
  <c r="O31" i="138"/>
  <c r="K30" i="138"/>
  <c r="O30" i="138"/>
  <c r="Q30" i="138"/>
  <c r="K29" i="138"/>
  <c r="O29" i="138"/>
  <c r="K28" i="138"/>
  <c r="O28" i="138"/>
  <c r="K27" i="138"/>
  <c r="O27" i="138"/>
  <c r="O26" i="138"/>
  <c r="O25" i="138"/>
  <c r="K24" i="138"/>
  <c r="O24" i="138"/>
  <c r="K23" i="138"/>
  <c r="O23" i="138"/>
  <c r="Q22" i="138"/>
  <c r="K21" i="138"/>
  <c r="O21" i="138"/>
  <c r="K20" i="138"/>
  <c r="O20" i="138"/>
  <c r="K17" i="138"/>
  <c r="O17" i="138"/>
  <c r="K16" i="138"/>
  <c r="O16" i="138"/>
  <c r="O10" i="138"/>
  <c r="O9" i="138"/>
  <c r="O8" i="138"/>
  <c r="O7" i="138"/>
  <c r="O6" i="138"/>
  <c r="O5" i="138"/>
  <c r="O4" i="138"/>
  <c r="O3" i="138"/>
  <c r="K31" i="137"/>
  <c r="K25" i="137"/>
  <c r="O37" i="137"/>
  <c r="K30" i="137"/>
  <c r="K24" i="137"/>
  <c r="O36" i="137"/>
  <c r="K34" i="137"/>
  <c r="O34" i="137"/>
  <c r="K33" i="137"/>
  <c r="O33" i="137"/>
  <c r="K32" i="137"/>
  <c r="O32" i="137"/>
  <c r="O31" i="137"/>
  <c r="O30" i="137"/>
  <c r="K29" i="137"/>
  <c r="O29" i="137"/>
  <c r="K28" i="137"/>
  <c r="O28" i="137"/>
  <c r="K27" i="137"/>
  <c r="O27" i="137"/>
  <c r="K26" i="137"/>
  <c r="O26" i="137"/>
  <c r="O35" i="137"/>
  <c r="O25" i="137"/>
  <c r="O24" i="137"/>
  <c r="K23" i="137"/>
  <c r="O23" i="137"/>
  <c r="K21" i="137"/>
  <c r="O21" i="137"/>
  <c r="K20" i="137"/>
  <c r="O20" i="137"/>
  <c r="K17" i="137"/>
  <c r="O17" i="137"/>
  <c r="K16" i="137"/>
  <c r="O16" i="137"/>
  <c r="Q37" i="137"/>
  <c r="O10" i="137"/>
  <c r="O9" i="137"/>
  <c r="O8" i="137"/>
  <c r="O7" i="137"/>
  <c r="O62" i="137"/>
  <c r="O6" i="137"/>
  <c r="O5" i="137"/>
  <c r="O4" i="137"/>
  <c r="O3" i="137"/>
  <c r="K23" i="136"/>
  <c r="O23" i="136"/>
  <c r="K24" i="136"/>
  <c r="O24" i="136"/>
  <c r="K25" i="136"/>
  <c r="O25" i="136"/>
  <c r="O54" i="136"/>
  <c r="O63" i="136"/>
  <c r="K31" i="136"/>
  <c r="O37" i="136"/>
  <c r="Q37" i="136"/>
  <c r="K26" i="136"/>
  <c r="O35" i="136"/>
  <c r="K34" i="136"/>
  <c r="O34" i="136"/>
  <c r="Q34" i="136"/>
  <c r="K33" i="136"/>
  <c r="O33" i="136"/>
  <c r="Q33" i="136"/>
  <c r="K32" i="136"/>
  <c r="O32" i="136"/>
  <c r="Q32" i="136"/>
  <c r="O31" i="136"/>
  <c r="K30" i="136"/>
  <c r="O30" i="136"/>
  <c r="Q30" i="136"/>
  <c r="O36" i="136"/>
  <c r="Q36" i="136"/>
  <c r="K29" i="136"/>
  <c r="O29" i="136"/>
  <c r="Q29" i="136"/>
  <c r="K28" i="136"/>
  <c r="O28" i="136"/>
  <c r="Q28" i="136"/>
  <c r="K27" i="136"/>
  <c r="O27" i="136"/>
  <c r="O26" i="136"/>
  <c r="Q26" i="136"/>
  <c r="Q25" i="136"/>
  <c r="Q24" i="136"/>
  <c r="Q22" i="136"/>
  <c r="K21" i="136"/>
  <c r="O21" i="136"/>
  <c r="Q21" i="136"/>
  <c r="K20" i="136"/>
  <c r="O20" i="136"/>
  <c r="Q20" i="136"/>
  <c r="Q18" i="136"/>
  <c r="K17" i="136"/>
  <c r="O17" i="136"/>
  <c r="Q17" i="136"/>
  <c r="K16" i="136"/>
  <c r="O16" i="136"/>
  <c r="Q16" i="136"/>
  <c r="Q35" i="136"/>
  <c r="O10" i="136"/>
  <c r="O9" i="136"/>
  <c r="O8" i="136"/>
  <c r="O7" i="136"/>
  <c r="O62" i="136"/>
  <c r="O6" i="136"/>
  <c r="O5" i="136"/>
  <c r="O4" i="136"/>
  <c r="O3" i="136"/>
  <c r="K31" i="135"/>
  <c r="K25" i="135"/>
  <c r="O37" i="135"/>
  <c r="Q37" i="135"/>
  <c r="K34" i="135"/>
  <c r="O34" i="135"/>
  <c r="K33" i="135"/>
  <c r="O33" i="135"/>
  <c r="K32" i="135"/>
  <c r="O32" i="135"/>
  <c r="O31" i="135"/>
  <c r="K30" i="135"/>
  <c r="O30" i="135"/>
  <c r="K29" i="135"/>
  <c r="O29" i="135"/>
  <c r="K28" i="135"/>
  <c r="O28" i="135"/>
  <c r="K27" i="135"/>
  <c r="O27" i="135"/>
  <c r="K26" i="135"/>
  <c r="O25" i="135"/>
  <c r="K24" i="135"/>
  <c r="O24" i="135"/>
  <c r="K23" i="135"/>
  <c r="O23" i="135"/>
  <c r="K21" i="135"/>
  <c r="O21" i="135"/>
  <c r="Q21" i="135"/>
  <c r="K20" i="135"/>
  <c r="O20" i="135"/>
  <c r="Q19" i="135"/>
  <c r="O54" i="135"/>
  <c r="K17" i="135"/>
  <c r="O17" i="135"/>
  <c r="K16" i="135"/>
  <c r="O16" i="135"/>
  <c r="Q16" i="135"/>
  <c r="O10" i="135"/>
  <c r="O9" i="135"/>
  <c r="O8" i="135"/>
  <c r="O7" i="135"/>
  <c r="O6" i="135"/>
  <c r="O5" i="135"/>
  <c r="O4" i="135"/>
  <c r="O3" i="135"/>
  <c r="O46" i="134"/>
  <c r="K34" i="134"/>
  <c r="O34" i="134"/>
  <c r="Q34" i="134"/>
  <c r="K33" i="134"/>
  <c r="O33" i="134"/>
  <c r="K32" i="134"/>
  <c r="O32" i="134"/>
  <c r="K31" i="134"/>
  <c r="O31" i="134"/>
  <c r="Q31" i="134"/>
  <c r="K30" i="134"/>
  <c r="O30" i="134"/>
  <c r="Q30" i="134"/>
  <c r="K29" i="134"/>
  <c r="O29" i="134"/>
  <c r="Q29" i="134"/>
  <c r="K28" i="134"/>
  <c r="O28" i="134"/>
  <c r="K27" i="134"/>
  <c r="O27" i="134"/>
  <c r="Q27" i="134"/>
  <c r="K26" i="134"/>
  <c r="O35" i="134"/>
  <c r="K25" i="134"/>
  <c r="O25" i="134"/>
  <c r="Q25" i="134"/>
  <c r="K24" i="134"/>
  <c r="O24" i="134"/>
  <c r="Q24" i="134"/>
  <c r="K23" i="134"/>
  <c r="O23" i="134"/>
  <c r="Q23" i="134"/>
  <c r="Q22" i="134"/>
  <c r="K21" i="134"/>
  <c r="O21" i="134"/>
  <c r="Q21" i="134"/>
  <c r="K20" i="134"/>
  <c r="O20" i="134"/>
  <c r="Q20" i="134"/>
  <c r="Q19" i="134"/>
  <c r="K17" i="134"/>
  <c r="O17" i="134"/>
  <c r="Q17" i="134"/>
  <c r="K16" i="134"/>
  <c r="O16" i="134"/>
  <c r="Q16" i="134"/>
  <c r="O10" i="134"/>
  <c r="O9" i="134"/>
  <c r="O8" i="134"/>
  <c r="O7" i="134"/>
  <c r="O6" i="134"/>
  <c r="O5" i="134"/>
  <c r="O4" i="134"/>
  <c r="O3" i="134"/>
  <c r="E79" i="128"/>
  <c r="F78" i="128"/>
  <c r="E78" i="128"/>
  <c r="E77" i="128"/>
  <c r="K34" i="128"/>
  <c r="O34" i="128"/>
  <c r="K33" i="128"/>
  <c r="O33" i="128"/>
  <c r="K32" i="128"/>
  <c r="O32" i="128"/>
  <c r="K31" i="128"/>
  <c r="O31" i="128"/>
  <c r="K30" i="128"/>
  <c r="O30" i="128"/>
  <c r="K29" i="128"/>
  <c r="O29" i="128"/>
  <c r="K28" i="128"/>
  <c r="O28" i="128"/>
  <c r="K27" i="128"/>
  <c r="O27" i="128"/>
  <c r="K26" i="128"/>
  <c r="K25" i="128"/>
  <c r="O25" i="128"/>
  <c r="K24" i="128"/>
  <c r="O24" i="128"/>
  <c r="K23" i="128"/>
  <c r="O23" i="128"/>
  <c r="K21" i="128"/>
  <c r="O21" i="128"/>
  <c r="K20" i="128"/>
  <c r="O20" i="128"/>
  <c r="K17" i="128"/>
  <c r="O17" i="128"/>
  <c r="K16" i="128"/>
  <c r="O16" i="128"/>
  <c r="O10" i="128"/>
  <c r="O9" i="128"/>
  <c r="O8" i="128"/>
  <c r="O7" i="128"/>
  <c r="O6" i="128"/>
  <c r="O5" i="128"/>
  <c r="O4" i="128"/>
  <c r="O3" i="128"/>
  <c r="F77" i="127"/>
  <c r="K33" i="127"/>
  <c r="O33" i="127"/>
  <c r="K30" i="127"/>
  <c r="O30" i="127"/>
  <c r="K29" i="127"/>
  <c r="O29" i="127"/>
  <c r="K28" i="127"/>
  <c r="O28" i="127"/>
  <c r="K26" i="127"/>
  <c r="O26" i="127"/>
  <c r="K24" i="127"/>
  <c r="O24" i="127"/>
  <c r="K23" i="127"/>
  <c r="O23" i="127"/>
  <c r="K21" i="127"/>
  <c r="O21" i="127"/>
  <c r="K20" i="127"/>
  <c r="O20" i="127"/>
  <c r="K17" i="127"/>
  <c r="O17" i="127"/>
  <c r="K16" i="127"/>
  <c r="O16" i="127"/>
  <c r="O10" i="127"/>
  <c r="O9" i="127"/>
  <c r="O8" i="127"/>
  <c r="O7" i="127"/>
  <c r="O6" i="127"/>
  <c r="O5" i="127"/>
  <c r="O4" i="127"/>
  <c r="O3" i="127"/>
  <c r="O62" i="139"/>
  <c r="P59" i="142"/>
  <c r="O59" i="142"/>
  <c r="Q17" i="142"/>
  <c r="Q19" i="142"/>
  <c r="Q21" i="142"/>
  <c r="Q23" i="142"/>
  <c r="Q25" i="142"/>
  <c r="Q27" i="142"/>
  <c r="Q29" i="142"/>
  <c r="Q37" i="142"/>
  <c r="Q33" i="142"/>
  <c r="O46" i="142"/>
  <c r="Q14" i="142"/>
  <c r="P62" i="142"/>
  <c r="Q16" i="142"/>
  <c r="O54" i="142"/>
  <c r="Q18" i="142"/>
  <c r="O52" i="142"/>
  <c r="Q20" i="142"/>
  <c r="Q22" i="142"/>
  <c r="Q24" i="142"/>
  <c r="Q35" i="142"/>
  <c r="O50" i="142"/>
  <c r="Q28" i="142"/>
  <c r="O48" i="142"/>
  <c r="Q30" i="142"/>
  <c r="Q32" i="142"/>
  <c r="Q34" i="142"/>
  <c r="O36" i="142"/>
  <c r="Q36" i="142"/>
  <c r="O36" i="143"/>
  <c r="Q36" i="143"/>
  <c r="O26" i="142"/>
  <c r="Q26" i="142"/>
  <c r="O31" i="142"/>
  <c r="Q31" i="142"/>
  <c r="O62" i="144"/>
  <c r="P62" i="144"/>
  <c r="Q18" i="144"/>
  <c r="Q35" i="144"/>
  <c r="P58" i="144"/>
  <c r="O41" i="143"/>
  <c r="Q32" i="143"/>
  <c r="O54" i="143"/>
  <c r="Q18" i="143"/>
  <c r="O52" i="143"/>
  <c r="Q14" i="144"/>
  <c r="O46" i="144"/>
  <c r="P62" i="143"/>
  <c r="O50" i="143"/>
  <c r="Q28" i="143"/>
  <c r="O48" i="143"/>
  <c r="O35" i="143"/>
  <c r="O37" i="143"/>
  <c r="Q37" i="143"/>
  <c r="O24" i="144"/>
  <c r="Q24" i="144"/>
  <c r="O26" i="144"/>
  <c r="Q26" i="144"/>
  <c r="O31" i="144"/>
  <c r="Q31" i="144"/>
  <c r="Q16" i="145"/>
  <c r="Q20" i="145"/>
  <c r="Q21" i="145"/>
  <c r="Q29" i="145"/>
  <c r="Q28" i="145"/>
  <c r="Q27" i="145"/>
  <c r="O62" i="145"/>
  <c r="P62" i="145"/>
  <c r="P59" i="145"/>
  <c r="O59" i="145"/>
  <c r="P58" i="145"/>
  <c r="O50" i="145"/>
  <c r="Q26" i="145"/>
  <c r="Q34" i="145"/>
  <c r="O46" i="143"/>
  <c r="Q18" i="145"/>
  <c r="O52" i="145"/>
  <c r="O41" i="145"/>
  <c r="O44" i="145"/>
  <c r="O54" i="145"/>
  <c r="Q25" i="145"/>
  <c r="Q33" i="145"/>
  <c r="Q24" i="145"/>
  <c r="Q32" i="145"/>
  <c r="Q35" i="145"/>
  <c r="Q37" i="145"/>
  <c r="Q28" i="144"/>
  <c r="O50" i="144"/>
  <c r="Q32" i="144"/>
  <c r="O41" i="144"/>
  <c r="O44" i="144"/>
  <c r="Q17" i="145"/>
  <c r="Q23" i="145"/>
  <c r="Q31" i="145"/>
  <c r="P59" i="144"/>
  <c r="O59" i="144"/>
  <c r="Q14" i="145"/>
  <c r="O46" i="145"/>
  <c r="Q22" i="145"/>
  <c r="Q30" i="145"/>
  <c r="O52" i="146"/>
  <c r="O54" i="146"/>
  <c r="Q18" i="146"/>
  <c r="O62" i="146"/>
  <c r="P62" i="146"/>
  <c r="Q28" i="146"/>
  <c r="O48" i="146"/>
  <c r="O50" i="146"/>
  <c r="Q32" i="146"/>
  <c r="O41" i="146"/>
  <c r="Q14" i="146"/>
  <c r="Q28" i="147"/>
  <c r="Q22" i="148"/>
  <c r="O35" i="146"/>
  <c r="Q35" i="146"/>
  <c r="O62" i="147"/>
  <c r="P62" i="147"/>
  <c r="O54" i="147"/>
  <c r="O46" i="146"/>
  <c r="Q18" i="147"/>
  <c r="O37" i="146"/>
  <c r="Q37" i="146"/>
  <c r="O41" i="147"/>
  <c r="Q37" i="147"/>
  <c r="O52" i="147"/>
  <c r="O36" i="146"/>
  <c r="Q36" i="146"/>
  <c r="Q36" i="147"/>
  <c r="O48" i="145"/>
  <c r="P58" i="147"/>
  <c r="Q31" i="147"/>
  <c r="Q14" i="148"/>
  <c r="O46" i="148"/>
  <c r="Q14" i="147"/>
  <c r="P59" i="146"/>
  <c r="O59" i="146"/>
  <c r="Q21" i="147"/>
  <c r="O50" i="147"/>
  <c r="Q29" i="147"/>
  <c r="P59" i="147"/>
  <c r="O59" i="147"/>
  <c r="Q31" i="148"/>
  <c r="O62" i="149"/>
  <c r="P62" i="149"/>
  <c r="Q18" i="149"/>
  <c r="O52" i="149"/>
  <c r="O54" i="149"/>
  <c r="Q34" i="149"/>
  <c r="O41" i="149"/>
  <c r="Q21" i="148"/>
  <c r="Q29" i="148"/>
  <c r="P59" i="149"/>
  <c r="O59" i="149"/>
  <c r="Q20" i="149"/>
  <c r="Q28" i="149"/>
  <c r="O48" i="149"/>
  <c r="O50" i="149"/>
  <c r="Q20" i="148"/>
  <c r="Q28" i="148"/>
  <c r="Q17" i="149"/>
  <c r="Q25" i="149"/>
  <c r="Q33" i="149"/>
  <c r="Q35" i="149"/>
  <c r="O62" i="148"/>
  <c r="P62" i="148"/>
  <c r="Q30" i="149"/>
  <c r="Q34" i="148"/>
  <c r="Q14" i="149"/>
  <c r="O46" i="149"/>
  <c r="Q27" i="149"/>
  <c r="Q17" i="148"/>
  <c r="Q25" i="148"/>
  <c r="Q33" i="148"/>
  <c r="O48" i="148"/>
  <c r="O50" i="148"/>
  <c r="Q16" i="149"/>
  <c r="Q24" i="149"/>
  <c r="Q32" i="149"/>
  <c r="P59" i="150"/>
  <c r="O59" i="150"/>
  <c r="O50" i="150"/>
  <c r="Q17" i="150"/>
  <c r="O44" i="148"/>
  <c r="P58" i="148"/>
  <c r="Q16" i="148"/>
  <c r="Q24" i="148"/>
  <c r="Q32" i="148"/>
  <c r="Q35" i="148"/>
  <c r="Q37" i="148"/>
  <c r="O52" i="148"/>
  <c r="O54" i="148"/>
  <c r="Q21" i="149"/>
  <c r="Q29" i="149"/>
  <c r="Q34" i="150"/>
  <c r="Q19" i="150"/>
  <c r="Q23" i="150"/>
  <c r="Q27" i="150"/>
  <c r="Q33" i="150"/>
  <c r="P59" i="151"/>
  <c r="O59" i="151"/>
  <c r="Q17" i="151"/>
  <c r="Q19" i="151"/>
  <c r="Q21" i="151"/>
  <c r="Q23" i="151"/>
  <c r="Q25" i="151"/>
  <c r="Q27" i="151"/>
  <c r="Q29" i="151"/>
  <c r="Q31" i="151"/>
  <c r="Q33" i="151"/>
  <c r="O37" i="149"/>
  <c r="Q37" i="149"/>
  <c r="Q32" i="150"/>
  <c r="O37" i="150"/>
  <c r="Q37" i="150"/>
  <c r="O41" i="150"/>
  <c r="O44" i="150"/>
  <c r="O36" i="149"/>
  <c r="Q36" i="149"/>
  <c r="Q22" i="150"/>
  <c r="O35" i="150"/>
  <c r="Q35" i="150"/>
  <c r="O26" i="150"/>
  <c r="Q26" i="150"/>
  <c r="Q30" i="150"/>
  <c r="Q31" i="150"/>
  <c r="Q18" i="150"/>
  <c r="O52" i="150"/>
  <c r="O54" i="150"/>
  <c r="Q14" i="151"/>
  <c r="P62" i="151"/>
  <c r="O46" i="151"/>
  <c r="Q21" i="150"/>
  <c r="Q25" i="150"/>
  <c r="Q29" i="150"/>
  <c r="Q16" i="151"/>
  <c r="Q18" i="151"/>
  <c r="O52" i="151"/>
  <c r="O54" i="151"/>
  <c r="Q20" i="151"/>
  <c r="Q22" i="151"/>
  <c r="Q24" i="151"/>
  <c r="Q26" i="151"/>
  <c r="Q28" i="151"/>
  <c r="O48" i="151"/>
  <c r="O50" i="151"/>
  <c r="Q30" i="151"/>
  <c r="Q32" i="151"/>
  <c r="O41" i="151"/>
  <c r="Q34" i="151"/>
  <c r="Q14" i="150"/>
  <c r="Q20" i="150"/>
  <c r="Q24" i="150"/>
  <c r="Q28" i="150"/>
  <c r="O48" i="150"/>
  <c r="O35" i="151"/>
  <c r="Q35" i="151"/>
  <c r="O36" i="150"/>
  <c r="Q36" i="150"/>
  <c r="O37" i="151"/>
  <c r="Q37" i="151"/>
  <c r="O36" i="151"/>
  <c r="Q36" i="151"/>
  <c r="Q33" i="134"/>
  <c r="P59" i="134"/>
  <c r="O59" i="134"/>
  <c r="Q18" i="134"/>
  <c r="O52" i="134"/>
  <c r="O62" i="134"/>
  <c r="P62" i="134"/>
  <c r="O54" i="134"/>
  <c r="Q35" i="134"/>
  <c r="Q28" i="134"/>
  <c r="O48" i="134"/>
  <c r="O50" i="134"/>
  <c r="Q32" i="134"/>
  <c r="O41" i="134"/>
  <c r="O63" i="135"/>
  <c r="P63" i="135"/>
  <c r="P61" i="135"/>
  <c r="O61" i="135"/>
  <c r="Q14" i="135"/>
  <c r="O46" i="135"/>
  <c r="Q17" i="135"/>
  <c r="O52" i="137"/>
  <c r="Q27" i="137"/>
  <c r="Q33" i="137"/>
  <c r="O37" i="134"/>
  <c r="Q37" i="134"/>
  <c r="Q22" i="135"/>
  <c r="O35" i="135"/>
  <c r="Q35" i="135"/>
  <c r="O26" i="135"/>
  <c r="Q26" i="135"/>
  <c r="Q30" i="135"/>
  <c r="Q34" i="135"/>
  <c r="O62" i="135"/>
  <c r="P62" i="135"/>
  <c r="Q24" i="137"/>
  <c r="Q36" i="137"/>
  <c r="O36" i="134"/>
  <c r="Q36" i="134"/>
  <c r="P59" i="135"/>
  <c r="O59" i="135"/>
  <c r="Q14" i="136"/>
  <c r="P63" i="136"/>
  <c r="P62" i="136"/>
  <c r="O46" i="136"/>
  <c r="P58" i="137"/>
  <c r="P59" i="137"/>
  <c r="O59" i="137"/>
  <c r="Q17" i="137"/>
  <c r="Q21" i="137"/>
  <c r="Q35" i="137"/>
  <c r="Q25" i="135"/>
  <c r="Q29" i="135"/>
  <c r="Q33" i="135"/>
  <c r="Q20" i="137"/>
  <c r="O26" i="134"/>
  <c r="Q26" i="134"/>
  <c r="O50" i="135"/>
  <c r="Q32" i="137"/>
  <c r="O41" i="137"/>
  <c r="O52" i="135"/>
  <c r="Q20" i="135"/>
  <c r="Q24" i="135"/>
  <c r="Q28" i="135"/>
  <c r="O48" i="135"/>
  <c r="Q32" i="135"/>
  <c r="O41" i="135"/>
  <c r="P62" i="137"/>
  <c r="O46" i="137"/>
  <c r="Q14" i="137"/>
  <c r="Q19" i="137"/>
  <c r="Q25" i="137"/>
  <c r="Q29" i="137"/>
  <c r="O54" i="137"/>
  <c r="Q14" i="134"/>
  <c r="O36" i="135"/>
  <c r="Q36" i="135"/>
  <c r="P59" i="136"/>
  <c r="O59" i="136"/>
  <c r="P58" i="136"/>
  <c r="O50" i="136"/>
  <c r="Q19" i="136"/>
  <c r="Q23" i="136"/>
  <c r="Q27" i="136"/>
  <c r="Q31" i="136"/>
  <c r="P61" i="136"/>
  <c r="O61" i="136"/>
  <c r="Q16" i="137"/>
  <c r="Q28" i="137"/>
  <c r="O50" i="137"/>
  <c r="O48" i="137"/>
  <c r="P59" i="138"/>
  <c r="O59" i="138"/>
  <c r="Q18" i="135"/>
  <c r="Q23" i="135"/>
  <c r="Q27" i="135"/>
  <c r="Q31" i="135"/>
  <c r="P58" i="135"/>
  <c r="Q23" i="137"/>
  <c r="Q31" i="137"/>
  <c r="O48" i="138"/>
  <c r="O50" i="138"/>
  <c r="Q28" i="138"/>
  <c r="Q35" i="138"/>
  <c r="Q22" i="137"/>
  <c r="Q30" i="137"/>
  <c r="Q19" i="138"/>
  <c r="Q25" i="138"/>
  <c r="Q33" i="138"/>
  <c r="O62" i="138"/>
  <c r="P62" i="138"/>
  <c r="O52" i="138"/>
  <c r="O54" i="138"/>
  <c r="Q18" i="138"/>
  <c r="Q27" i="138"/>
  <c r="O41" i="136"/>
  <c r="O44" i="136"/>
  <c r="Q24" i="138"/>
  <c r="Q32" i="138"/>
  <c r="O41" i="138"/>
  <c r="O44" i="138"/>
  <c r="O48" i="136"/>
  <c r="O52" i="136"/>
  <c r="Q18" i="137"/>
  <c r="Q26" i="137"/>
  <c r="Q34" i="137"/>
  <c r="Q17" i="138"/>
  <c r="Q21" i="138"/>
  <c r="Q29" i="138"/>
  <c r="O46" i="138"/>
  <c r="Q14" i="138"/>
  <c r="Q26" i="138"/>
  <c r="Q34" i="138"/>
  <c r="Q16" i="138"/>
  <c r="Q20" i="138"/>
  <c r="Q23" i="138"/>
  <c r="Q31" i="138"/>
  <c r="Q37" i="138"/>
  <c r="O37" i="139"/>
  <c r="Q37" i="139"/>
  <c r="Q21" i="139"/>
  <c r="Q25" i="139"/>
  <c r="Q29" i="139"/>
  <c r="P59" i="140"/>
  <c r="O59" i="140"/>
  <c r="Q28" i="140"/>
  <c r="Q20" i="140"/>
  <c r="Q21" i="140"/>
  <c r="Q25" i="140"/>
  <c r="Q17" i="140"/>
  <c r="Q18" i="140"/>
  <c r="O50" i="139"/>
  <c r="O48" i="139"/>
  <c r="O41" i="139"/>
  <c r="O36" i="139"/>
  <c r="Q36" i="139"/>
  <c r="Q23" i="140"/>
  <c r="Q37" i="140"/>
  <c r="Q16" i="139"/>
  <c r="Q20" i="139"/>
  <c r="Q24" i="139"/>
  <c r="Q28" i="139"/>
  <c r="Q32" i="139"/>
  <c r="O36" i="138"/>
  <c r="Q36" i="138"/>
  <c r="E59" i="139"/>
  <c r="D24" i="67"/>
  <c r="Q22" i="140"/>
  <c r="Q27" i="140"/>
  <c r="P59" i="139"/>
  <c r="O59" i="139"/>
  <c r="Q19" i="139"/>
  <c r="Q23" i="139"/>
  <c r="Q27" i="139"/>
  <c r="Q31" i="139"/>
  <c r="Q14" i="140"/>
  <c r="O46" i="140"/>
  <c r="P62" i="139"/>
  <c r="O46" i="139"/>
  <c r="Q14" i="139"/>
  <c r="O54" i="139"/>
  <c r="O52" i="139"/>
  <c r="O35" i="139"/>
  <c r="Q35" i="139"/>
  <c r="O26" i="139"/>
  <c r="Q26" i="139"/>
  <c r="Q24" i="140"/>
  <c r="O41" i="140"/>
  <c r="Q18" i="139"/>
  <c r="Q16" i="140"/>
  <c r="Q30" i="140"/>
  <c r="Q34" i="140"/>
  <c r="O62" i="140"/>
  <c r="P62" i="140"/>
  <c r="Q29" i="140"/>
  <c r="Q33" i="140"/>
  <c r="O48" i="140"/>
  <c r="Q32" i="140"/>
  <c r="O52" i="140"/>
  <c r="O35" i="140"/>
  <c r="Q35" i="140"/>
  <c r="O26" i="140"/>
  <c r="Q26" i="140"/>
  <c r="O36" i="140"/>
  <c r="Q36" i="140"/>
  <c r="O54" i="140"/>
  <c r="Q31" i="140"/>
  <c r="O50" i="140"/>
  <c r="Q17" i="128"/>
  <c r="O46" i="128"/>
  <c r="Q16" i="128"/>
  <c r="P59" i="128"/>
  <c r="O59" i="128"/>
  <c r="Q18" i="128"/>
  <c r="O50" i="128"/>
  <c r="O41" i="128"/>
  <c r="Q19" i="128"/>
  <c r="Q20" i="128"/>
  <c r="Q23" i="128"/>
  <c r="Q27" i="128"/>
  <c r="Q31" i="128"/>
  <c r="Q22" i="128"/>
  <c r="O35" i="128"/>
  <c r="Q35" i="128"/>
  <c r="O26" i="128"/>
  <c r="Q26" i="128"/>
  <c r="Q30" i="128"/>
  <c r="Q34" i="128"/>
  <c r="Q14" i="128"/>
  <c r="Q21" i="128"/>
  <c r="Q25" i="128"/>
  <c r="Q29" i="128"/>
  <c r="Q33" i="128"/>
  <c r="O62" i="128"/>
  <c r="P62" i="128"/>
  <c r="Q24" i="128"/>
  <c r="Q28" i="128"/>
  <c r="O48" i="128"/>
  <c r="Q32" i="128"/>
  <c r="O37" i="128"/>
  <c r="Q37" i="128"/>
  <c r="O54" i="128"/>
  <c r="O52" i="128"/>
  <c r="O36" i="128"/>
  <c r="Q36" i="128"/>
  <c r="Q18" i="127"/>
  <c r="O52" i="127"/>
  <c r="O54" i="127"/>
  <c r="Q26" i="127"/>
  <c r="Q34" i="127"/>
  <c r="Q23" i="127"/>
  <c r="Q31" i="127"/>
  <c r="O62" i="127"/>
  <c r="P62" i="127"/>
  <c r="Q20" i="127"/>
  <c r="Q28" i="127"/>
  <c r="O48" i="127"/>
  <c r="O50" i="127"/>
  <c r="Q25" i="127"/>
  <c r="Q33" i="127"/>
  <c r="Q30" i="127"/>
  <c r="Q22" i="127"/>
  <c r="Q14" i="127"/>
  <c r="O46" i="127"/>
  <c r="Q16" i="127"/>
  <c r="Q24" i="127"/>
  <c r="Q32" i="127"/>
  <c r="O44" i="127"/>
  <c r="P59" i="127"/>
  <c r="O59" i="127"/>
  <c r="Q17" i="127"/>
  <c r="Q19" i="127"/>
  <c r="Q27" i="127"/>
  <c r="Q21" i="127"/>
  <c r="Q29" i="127"/>
  <c r="O35" i="127"/>
  <c r="Q35" i="127"/>
  <c r="O37" i="127"/>
  <c r="Q37" i="127"/>
  <c r="O36" i="127"/>
  <c r="Q36" i="127"/>
  <c r="O44" i="151"/>
  <c r="O44" i="146"/>
  <c r="O63" i="146"/>
  <c r="P63" i="146"/>
  <c r="P61" i="146"/>
  <c r="O61" i="146"/>
  <c r="O52" i="144"/>
  <c r="O44" i="149"/>
  <c r="O63" i="145"/>
  <c r="P63" i="145"/>
  <c r="P61" i="145"/>
  <c r="P58" i="146"/>
  <c r="O44" i="143"/>
  <c r="O54" i="144"/>
  <c r="O63" i="142"/>
  <c r="P63" i="142"/>
  <c r="P61" i="142"/>
  <c r="O61" i="142"/>
  <c r="O63" i="151"/>
  <c r="P63" i="151"/>
  <c r="P61" i="151"/>
  <c r="O61" i="151"/>
  <c r="O63" i="149"/>
  <c r="P63" i="149"/>
  <c r="P61" i="149"/>
  <c r="O61" i="149"/>
  <c r="O44" i="147"/>
  <c r="P58" i="149"/>
  <c r="Q35" i="143"/>
  <c r="P58" i="143"/>
  <c r="O63" i="150"/>
  <c r="P63" i="150"/>
  <c r="P61" i="150"/>
  <c r="O61" i="150"/>
  <c r="P58" i="151"/>
  <c r="O58" i="148"/>
  <c r="P58" i="150"/>
  <c r="O58" i="144"/>
  <c r="O63" i="148"/>
  <c r="P63" i="148"/>
  <c r="P61" i="148"/>
  <c r="O61" i="148"/>
  <c r="O58" i="145"/>
  <c r="O41" i="142"/>
  <c r="O44" i="142"/>
  <c r="P58" i="142"/>
  <c r="O58" i="147"/>
  <c r="O63" i="147"/>
  <c r="P63" i="147"/>
  <c r="P61" i="147"/>
  <c r="O63" i="143"/>
  <c r="P63" i="143"/>
  <c r="P61" i="143"/>
  <c r="O61" i="143"/>
  <c r="O63" i="139"/>
  <c r="P63" i="139"/>
  <c r="P61" i="139"/>
  <c r="O61" i="139"/>
  <c r="O63" i="138"/>
  <c r="P63" i="138"/>
  <c r="P61" i="138"/>
  <c r="O61" i="138"/>
  <c r="O58" i="135"/>
  <c r="O58" i="136"/>
  <c r="P61" i="137"/>
  <c r="O61" i="137"/>
  <c r="O63" i="137"/>
  <c r="P63" i="137"/>
  <c r="O63" i="140"/>
  <c r="P63" i="140"/>
  <c r="P61" i="140"/>
  <c r="O61" i="140"/>
  <c r="O44" i="139"/>
  <c r="P58" i="140"/>
  <c r="O58" i="137"/>
  <c r="O44" i="135"/>
  <c r="P60" i="135"/>
  <c r="P64" i="135"/>
  <c r="P58" i="138"/>
  <c r="P60" i="137"/>
  <c r="P64" i="137"/>
  <c r="P58" i="134"/>
  <c r="O44" i="140"/>
  <c r="P58" i="139"/>
  <c r="O44" i="137"/>
  <c r="P60" i="136"/>
  <c r="P64" i="136"/>
  <c r="O44" i="134"/>
  <c r="O63" i="134"/>
  <c r="P63" i="134"/>
  <c r="P61" i="134"/>
  <c r="O61" i="134"/>
  <c r="P58" i="128"/>
  <c r="O44" i="128"/>
  <c r="O63" i="128"/>
  <c r="P63" i="128"/>
  <c r="P61" i="128"/>
  <c r="O61" i="128"/>
  <c r="P58" i="127"/>
  <c r="O63" i="127"/>
  <c r="P63" i="127"/>
  <c r="P61" i="127"/>
  <c r="O61" i="127"/>
  <c r="O58" i="142"/>
  <c r="P60" i="142"/>
  <c r="P64" i="142"/>
  <c r="O58" i="150"/>
  <c r="P60" i="150"/>
  <c r="P64" i="150"/>
  <c r="O60" i="148"/>
  <c r="O64" i="148"/>
  <c r="O58" i="149"/>
  <c r="P60" i="149"/>
  <c r="P64" i="149"/>
  <c r="P61" i="144"/>
  <c r="O63" i="144"/>
  <c r="P63" i="144"/>
  <c r="O58" i="151"/>
  <c r="P60" i="151"/>
  <c r="P64" i="151"/>
  <c r="O58" i="146"/>
  <c r="P60" i="146"/>
  <c r="P64" i="146"/>
  <c r="O61" i="147"/>
  <c r="O60" i="147"/>
  <c r="O64" i="147"/>
  <c r="P60" i="147"/>
  <c r="P64" i="147"/>
  <c r="O61" i="145"/>
  <c r="O60" i="145"/>
  <c r="O64" i="145"/>
  <c r="P60" i="145"/>
  <c r="P64" i="145"/>
  <c r="P60" i="143"/>
  <c r="P64" i="143"/>
  <c r="O58" i="143"/>
  <c r="P60" i="148"/>
  <c r="P64" i="148"/>
  <c r="O60" i="137"/>
  <c r="O64" i="137"/>
  <c r="O60" i="136"/>
  <c r="O64" i="136"/>
  <c r="O58" i="134"/>
  <c r="P60" i="134"/>
  <c r="P64" i="134"/>
  <c r="O58" i="140"/>
  <c r="P60" i="140"/>
  <c r="P64" i="140"/>
  <c r="O60" i="135"/>
  <c r="O64" i="135"/>
  <c r="O58" i="138"/>
  <c r="P60" i="138"/>
  <c r="P64" i="138"/>
  <c r="O58" i="139"/>
  <c r="P60" i="139"/>
  <c r="P64" i="139"/>
  <c r="O58" i="128"/>
  <c r="P60" i="128"/>
  <c r="P64" i="128"/>
  <c r="O58" i="127"/>
  <c r="P60" i="127"/>
  <c r="P64" i="127"/>
  <c r="O60" i="143"/>
  <c r="O64" i="143"/>
  <c r="O60" i="151"/>
  <c r="O64" i="151"/>
  <c r="O60" i="150"/>
  <c r="O64" i="150"/>
  <c r="O61" i="144"/>
  <c r="O60" i="144"/>
  <c r="O64" i="144"/>
  <c r="P60" i="144"/>
  <c r="P64" i="144"/>
  <c r="O60" i="146"/>
  <c r="O64" i="146"/>
  <c r="O60" i="142"/>
  <c r="O64" i="142"/>
  <c r="O60" i="149"/>
  <c r="O64" i="149"/>
  <c r="O60" i="134"/>
  <c r="O64" i="134"/>
  <c r="O60" i="138"/>
  <c r="O64" i="138"/>
  <c r="O60" i="139"/>
  <c r="O64" i="139"/>
  <c r="O60" i="140"/>
  <c r="O64" i="140"/>
  <c r="O60" i="128"/>
  <c r="O64" i="128"/>
  <c r="O60" i="127"/>
  <c r="O64" i="127"/>
  <c r="K16" i="86"/>
  <c r="K17" i="86"/>
  <c r="K20" i="86"/>
  <c r="K21" i="86"/>
  <c r="K26" i="86"/>
  <c r="K27" i="86"/>
  <c r="O27" i="86"/>
  <c r="K28" i="86"/>
  <c r="K29" i="86"/>
  <c r="O29" i="86"/>
  <c r="K30" i="86"/>
  <c r="K31" i="86"/>
  <c r="O31" i="86"/>
  <c r="K32" i="86"/>
  <c r="K33" i="86"/>
  <c r="K34" i="86"/>
  <c r="O34" i="86"/>
  <c r="H15" i="86"/>
  <c r="I15" i="86"/>
  <c r="H16" i="86"/>
  <c r="I16" i="86"/>
  <c r="H17" i="86"/>
  <c r="I17" i="86"/>
  <c r="H18" i="86"/>
  <c r="I18" i="86"/>
  <c r="H19" i="86"/>
  <c r="I19" i="86"/>
  <c r="H20" i="86"/>
  <c r="I20" i="86"/>
  <c r="H21" i="86"/>
  <c r="I21" i="86"/>
  <c r="H22" i="86"/>
  <c r="I22" i="86"/>
  <c r="H23" i="86"/>
  <c r="I23" i="86"/>
  <c r="H24" i="86"/>
  <c r="I24" i="86"/>
  <c r="H25" i="86"/>
  <c r="I25" i="86"/>
  <c r="H26" i="86"/>
  <c r="I26" i="86"/>
  <c r="H27" i="86"/>
  <c r="I27" i="86"/>
  <c r="H28" i="86"/>
  <c r="I28" i="86"/>
  <c r="H29" i="86"/>
  <c r="I29" i="86"/>
  <c r="H30" i="86"/>
  <c r="I30" i="86"/>
  <c r="H31" i="86"/>
  <c r="I31" i="86"/>
  <c r="H32" i="86"/>
  <c r="I32" i="86"/>
  <c r="H33" i="86"/>
  <c r="I33" i="86"/>
  <c r="H34" i="86"/>
  <c r="I34" i="86"/>
  <c r="H14" i="86"/>
  <c r="I14" i="86"/>
  <c r="O4" i="86"/>
  <c r="O5" i="86"/>
  <c r="O6" i="86"/>
  <c r="O8" i="86"/>
  <c r="O9" i="86"/>
  <c r="O10" i="86"/>
  <c r="O3" i="86"/>
  <c r="J58" i="86"/>
  <c r="I58" i="86"/>
  <c r="G58" i="86"/>
  <c r="F58" i="86"/>
  <c r="E58" i="86"/>
  <c r="D58" i="86"/>
  <c r="J57" i="86"/>
  <c r="I57" i="86"/>
  <c r="G57" i="86"/>
  <c r="F57" i="86"/>
  <c r="E57" i="86"/>
  <c r="D57" i="86"/>
  <c r="J56" i="86"/>
  <c r="I56" i="86"/>
  <c r="G56" i="86"/>
  <c r="F56" i="86"/>
  <c r="E56" i="86"/>
  <c r="D56" i="86"/>
  <c r="J55" i="86"/>
  <c r="I55" i="86"/>
  <c r="G55" i="86"/>
  <c r="F55" i="86"/>
  <c r="E55" i="86"/>
  <c r="D55" i="86"/>
  <c r="J54" i="86"/>
  <c r="I54" i="86"/>
  <c r="G54" i="86"/>
  <c r="F54" i="86"/>
  <c r="E54" i="86"/>
  <c r="D54" i="86"/>
  <c r="J53" i="86"/>
  <c r="I53" i="86"/>
  <c r="G53" i="86"/>
  <c r="F53" i="86"/>
  <c r="E53" i="86"/>
  <c r="D53" i="86"/>
  <c r="J52" i="86"/>
  <c r="I52" i="86"/>
  <c r="G52" i="86"/>
  <c r="F52" i="86"/>
  <c r="E52" i="86"/>
  <c r="D52" i="86"/>
  <c r="J51" i="86"/>
  <c r="I51" i="86"/>
  <c r="G51" i="86"/>
  <c r="F51" i="86"/>
  <c r="E51" i="86"/>
  <c r="D51" i="86"/>
  <c r="J50" i="86"/>
  <c r="I50" i="86"/>
  <c r="G50" i="86"/>
  <c r="F50" i="86"/>
  <c r="E50" i="86"/>
  <c r="D50" i="86"/>
  <c r="J49" i="86"/>
  <c r="I49" i="86"/>
  <c r="G49" i="86"/>
  <c r="F49" i="86"/>
  <c r="E49" i="86"/>
  <c r="D49" i="86"/>
  <c r="J48" i="86"/>
  <c r="I48" i="86"/>
  <c r="G48" i="86"/>
  <c r="F48" i="86"/>
  <c r="E48" i="86"/>
  <c r="D48" i="86"/>
  <c r="J47" i="86"/>
  <c r="I47" i="86"/>
  <c r="G47" i="86"/>
  <c r="F47" i="86"/>
  <c r="E47" i="86"/>
  <c r="D47" i="86"/>
  <c r="J46" i="86"/>
  <c r="I46" i="86"/>
  <c r="G46" i="86"/>
  <c r="F46" i="86"/>
  <c r="E46" i="86"/>
  <c r="D46" i="86"/>
  <c r="J45" i="86"/>
  <c r="I45" i="86"/>
  <c r="G45" i="86"/>
  <c r="F45" i="86"/>
  <c r="E45" i="86"/>
  <c r="D45" i="86"/>
  <c r="J44" i="86"/>
  <c r="I44" i="86"/>
  <c r="G44" i="86"/>
  <c r="F44" i="86"/>
  <c r="E44" i="86"/>
  <c r="D44" i="86"/>
  <c r="J43" i="86"/>
  <c r="I43" i="86"/>
  <c r="G43" i="86"/>
  <c r="F43" i="86"/>
  <c r="E43" i="86"/>
  <c r="D43" i="86"/>
  <c r="J42" i="86"/>
  <c r="I42" i="86"/>
  <c r="G42" i="86"/>
  <c r="F42" i="86"/>
  <c r="E42" i="86"/>
  <c r="D42" i="86"/>
  <c r="J41" i="86"/>
  <c r="I41" i="86"/>
  <c r="G41" i="86"/>
  <c r="F41" i="86"/>
  <c r="E41" i="86"/>
  <c r="D41" i="86"/>
  <c r="J40" i="86"/>
  <c r="I40" i="86"/>
  <c r="G40" i="86"/>
  <c r="F40" i="86"/>
  <c r="E40" i="86"/>
  <c r="D40" i="86"/>
  <c r="J39" i="86"/>
  <c r="I39" i="86"/>
  <c r="G39" i="86"/>
  <c r="F39" i="86"/>
  <c r="E39" i="86"/>
  <c r="D39" i="86"/>
  <c r="J38" i="86"/>
  <c r="I38" i="86"/>
  <c r="G38" i="86"/>
  <c r="F38" i="86"/>
  <c r="E38" i="86"/>
  <c r="D38" i="86"/>
  <c r="O33" i="86"/>
  <c r="O32" i="86"/>
  <c r="O30" i="86"/>
  <c r="O28" i="86"/>
  <c r="O26" i="86"/>
  <c r="O21" i="86"/>
  <c r="O20" i="86"/>
  <c r="O17" i="86"/>
  <c r="O16" i="86"/>
  <c r="D62" i="86"/>
  <c r="E62" i="86"/>
  <c r="F62" i="86"/>
  <c r="D63" i="86"/>
  <c r="E63" i="86"/>
  <c r="F63" i="86"/>
  <c r="D64" i="86"/>
  <c r="E64" i="86"/>
  <c r="F64" i="86"/>
  <c r="D65" i="86"/>
  <c r="E65" i="86"/>
  <c r="F65" i="86"/>
  <c r="D66" i="86"/>
  <c r="E66" i="86"/>
  <c r="F66" i="86"/>
  <c r="D67" i="86"/>
  <c r="E67" i="86"/>
  <c r="F67" i="86"/>
  <c r="D68" i="86"/>
  <c r="E68" i="86"/>
  <c r="F68" i="86"/>
  <c r="D69" i="86"/>
  <c r="E69" i="86"/>
  <c r="F69" i="86"/>
  <c r="D70" i="86"/>
  <c r="E70" i="86"/>
  <c r="F70" i="86"/>
  <c r="D71" i="86"/>
  <c r="E71" i="86"/>
  <c r="F71" i="86"/>
  <c r="D72" i="86"/>
  <c r="E72" i="86"/>
  <c r="F72" i="86"/>
  <c r="D73" i="86"/>
  <c r="E73" i="86"/>
  <c r="F73" i="86"/>
  <c r="D74" i="86"/>
  <c r="E74" i="86"/>
  <c r="F74" i="86"/>
  <c r="D75" i="86"/>
  <c r="E75" i="86"/>
  <c r="F75" i="86"/>
  <c r="D76" i="86"/>
  <c r="E76" i="86"/>
  <c r="F76" i="86"/>
  <c r="D77" i="86"/>
  <c r="E77" i="86"/>
  <c r="F77" i="86"/>
  <c r="D78" i="86"/>
  <c r="E78" i="86"/>
  <c r="F78" i="86"/>
  <c r="D79" i="86"/>
  <c r="E79" i="86"/>
  <c r="F79" i="86"/>
  <c r="D80" i="86"/>
  <c r="E80" i="86"/>
  <c r="F80" i="86"/>
  <c r="D81" i="86"/>
  <c r="E81" i="86"/>
  <c r="F81" i="86"/>
  <c r="F61" i="86"/>
  <c r="E61" i="86"/>
  <c r="D61" i="86"/>
  <c r="H58" i="86"/>
  <c r="H57" i="86"/>
  <c r="H56" i="86"/>
  <c r="H55" i="86"/>
  <c r="H54" i="86"/>
  <c r="H53" i="86"/>
  <c r="H52" i="86"/>
  <c r="H51" i="86"/>
  <c r="H50" i="86"/>
  <c r="H49" i="86"/>
  <c r="H48" i="86"/>
  <c r="H47" i="86"/>
  <c r="H46" i="86"/>
  <c r="H45" i="86"/>
  <c r="H44" i="86"/>
  <c r="H43" i="86"/>
  <c r="H42" i="86"/>
  <c r="H41" i="86"/>
  <c r="H40" i="86"/>
  <c r="H39" i="86"/>
  <c r="H38" i="86"/>
  <c r="B62" i="86"/>
  <c r="B63" i="86"/>
  <c r="B64" i="86"/>
  <c r="B65" i="86"/>
  <c r="B66" i="86"/>
  <c r="B67" i="86"/>
  <c r="B68" i="86"/>
  <c r="B69" i="86"/>
  <c r="B70" i="86"/>
  <c r="B71" i="86"/>
  <c r="B72" i="86"/>
  <c r="B73" i="86"/>
  <c r="B74" i="86"/>
  <c r="B75" i="86"/>
  <c r="B76" i="86"/>
  <c r="B77" i="86"/>
  <c r="B78" i="86"/>
  <c r="B79" i="86"/>
  <c r="B80" i="86"/>
  <c r="B81" i="86"/>
  <c r="B61" i="86"/>
  <c r="B38" i="86"/>
  <c r="B39" i="86"/>
  <c r="B40" i="86"/>
  <c r="B41" i="86"/>
  <c r="B42" i="86"/>
  <c r="B43" i="86"/>
  <c r="B44" i="86"/>
  <c r="B45" i="86"/>
  <c r="B46" i="86"/>
  <c r="B47" i="86"/>
  <c r="B48" i="86"/>
  <c r="B49" i="86"/>
  <c r="B50" i="86"/>
  <c r="B51" i="86"/>
  <c r="B52" i="86"/>
  <c r="B53" i="86"/>
  <c r="B54" i="86"/>
  <c r="B55" i="86"/>
  <c r="B56" i="86"/>
  <c r="B57" i="86"/>
  <c r="B58" i="86"/>
  <c r="B1" i="20"/>
  <c r="Q27" i="86"/>
  <c r="P59" i="86"/>
  <c r="O59" i="86"/>
  <c r="Q34" i="86"/>
  <c r="Q29" i="86"/>
  <c r="Q31" i="86"/>
  <c r="Q25" i="86"/>
  <c r="O48" i="86"/>
  <c r="H81" i="86"/>
  <c r="E25" i="16"/>
  <c r="O46" i="86"/>
  <c r="O37" i="86"/>
  <c r="O50" i="86"/>
  <c r="G61" i="86"/>
  <c r="D5" i="16"/>
  <c r="H70" i="86"/>
  <c r="E14" i="16"/>
  <c r="H62" i="86"/>
  <c r="E6" i="16"/>
  <c r="O35" i="86"/>
  <c r="H71" i="86"/>
  <c r="E15" i="16"/>
  <c r="H63" i="86"/>
  <c r="E7" i="16"/>
  <c r="O36" i="86"/>
  <c r="H79" i="86"/>
  <c r="E23" i="16"/>
  <c r="H78" i="86"/>
  <c r="E22" i="16"/>
  <c r="H74" i="86"/>
  <c r="E18" i="16"/>
  <c r="H68" i="86"/>
  <c r="E12" i="16"/>
  <c r="G76" i="86"/>
  <c r="D20" i="16"/>
  <c r="G65" i="86"/>
  <c r="D9" i="16"/>
  <c r="H77" i="86"/>
  <c r="E21" i="16"/>
  <c r="H73" i="86"/>
  <c r="E17" i="16"/>
  <c r="H67" i="86"/>
  <c r="E11" i="16"/>
  <c r="H75" i="86"/>
  <c r="E19" i="16"/>
  <c r="H72" i="86"/>
  <c r="E16" i="16"/>
  <c r="H64" i="86"/>
  <c r="E8" i="16"/>
  <c r="G80" i="86"/>
  <c r="D24" i="16"/>
  <c r="G69" i="86"/>
  <c r="D13" i="16"/>
  <c r="H66" i="86"/>
  <c r="E10" i="16"/>
  <c r="H61" i="86"/>
  <c r="E5" i="16"/>
  <c r="H65" i="86"/>
  <c r="E9" i="16"/>
  <c r="H69" i="86"/>
  <c r="E13" i="16"/>
  <c r="H76" i="86"/>
  <c r="E20" i="16"/>
  <c r="H80" i="86"/>
  <c r="E24" i="16"/>
  <c r="G62" i="86"/>
  <c r="D6" i="16"/>
  <c r="G66" i="86"/>
  <c r="D10" i="16"/>
  <c r="G70" i="86"/>
  <c r="D14" i="16"/>
  <c r="G81" i="86"/>
  <c r="D25" i="16"/>
  <c r="G63" i="86"/>
  <c r="D7" i="16"/>
  <c r="G67" i="86"/>
  <c r="D11" i="16"/>
  <c r="G71" i="86"/>
  <c r="D15" i="16"/>
  <c r="G73" i="86"/>
  <c r="D17" i="16"/>
  <c r="G77" i="86"/>
  <c r="D21" i="16"/>
  <c r="G64" i="86"/>
  <c r="D8" i="16"/>
  <c r="G68" i="86"/>
  <c r="D12" i="16"/>
  <c r="G72" i="86"/>
  <c r="D16" i="16"/>
  <c r="G74" i="86"/>
  <c r="D18" i="16"/>
  <c r="G75" i="86"/>
  <c r="D19" i="16"/>
  <c r="G78" i="86"/>
  <c r="D22" i="16"/>
  <c r="G79" i="86"/>
  <c r="D23" i="16"/>
  <c r="O62" i="86"/>
  <c r="P62" i="86"/>
  <c r="P58" i="86"/>
  <c r="O58" i="86"/>
  <c r="O52" i="86"/>
  <c r="P63" i="86"/>
  <c r="O41" i="86"/>
  <c r="V51" i="16"/>
  <c r="U51" i="16"/>
  <c r="T51" i="16"/>
  <c r="S51" i="16"/>
  <c r="R51" i="16"/>
  <c r="Q51" i="16"/>
  <c r="P51" i="16"/>
  <c r="O51" i="16"/>
  <c r="N51" i="16"/>
  <c r="M51" i="16"/>
  <c r="L51" i="16"/>
  <c r="K51" i="16"/>
  <c r="J51" i="16"/>
  <c r="I51" i="16"/>
  <c r="H51" i="16"/>
  <c r="G51" i="16"/>
  <c r="F51" i="16"/>
  <c r="V50" i="16"/>
  <c r="U50" i="16"/>
  <c r="T50" i="16"/>
  <c r="S50" i="16"/>
  <c r="R50" i="16"/>
  <c r="Q50" i="16"/>
  <c r="P50" i="16"/>
  <c r="O50" i="16"/>
  <c r="N50" i="16"/>
  <c r="M50" i="16"/>
  <c r="L50" i="16"/>
  <c r="K50" i="16"/>
  <c r="J50" i="16"/>
  <c r="I50" i="16"/>
  <c r="H50" i="16"/>
  <c r="G50" i="16"/>
  <c r="F50" i="16"/>
  <c r="V49" i="16"/>
  <c r="U49" i="16"/>
  <c r="T49" i="16"/>
  <c r="S49" i="16"/>
  <c r="R49" i="16"/>
  <c r="Q49" i="16"/>
  <c r="P49" i="16"/>
  <c r="O49" i="16"/>
  <c r="N49" i="16"/>
  <c r="M49" i="16"/>
  <c r="L49" i="16"/>
  <c r="K49" i="16"/>
  <c r="J49" i="16"/>
  <c r="I49" i="16"/>
  <c r="H49" i="16"/>
  <c r="G49" i="16"/>
  <c r="F49" i="16"/>
  <c r="V48" i="16"/>
  <c r="U48" i="16"/>
  <c r="T48" i="16"/>
  <c r="S48" i="16"/>
  <c r="R48" i="16"/>
  <c r="Q48" i="16"/>
  <c r="P48" i="16"/>
  <c r="O48" i="16"/>
  <c r="N48" i="16"/>
  <c r="M48" i="16"/>
  <c r="L48" i="16"/>
  <c r="K48" i="16"/>
  <c r="J48" i="16"/>
  <c r="I48" i="16"/>
  <c r="H48" i="16"/>
  <c r="G48" i="16"/>
  <c r="F48" i="16"/>
  <c r="V47" i="16"/>
  <c r="U47" i="16"/>
  <c r="T47" i="16"/>
  <c r="S47" i="16"/>
  <c r="R47" i="16"/>
  <c r="Q47" i="16"/>
  <c r="P47" i="16"/>
  <c r="O47" i="16"/>
  <c r="N47" i="16"/>
  <c r="M47" i="16"/>
  <c r="L47" i="16"/>
  <c r="K47" i="16"/>
  <c r="J47" i="16"/>
  <c r="I47" i="16"/>
  <c r="H47" i="16"/>
  <c r="G47" i="16"/>
  <c r="F47" i="16"/>
  <c r="V46" i="16"/>
  <c r="U46" i="16"/>
  <c r="T46" i="16"/>
  <c r="S46" i="16"/>
  <c r="R46" i="16"/>
  <c r="Q46" i="16"/>
  <c r="P46" i="16"/>
  <c r="O46" i="16"/>
  <c r="N46" i="16"/>
  <c r="M46" i="16"/>
  <c r="L46" i="16"/>
  <c r="K46" i="16"/>
  <c r="J46" i="16"/>
  <c r="I46" i="16"/>
  <c r="H46" i="16"/>
  <c r="G46" i="16"/>
  <c r="F46" i="16"/>
  <c r="V45" i="16"/>
  <c r="U45" i="16"/>
  <c r="T45" i="16"/>
  <c r="S45" i="16"/>
  <c r="R45" i="16"/>
  <c r="Q45" i="16"/>
  <c r="P45" i="16"/>
  <c r="O45" i="16"/>
  <c r="N45" i="16"/>
  <c r="M45" i="16"/>
  <c r="L45" i="16"/>
  <c r="K45" i="16"/>
  <c r="J45" i="16"/>
  <c r="I45" i="16"/>
  <c r="H45" i="16"/>
  <c r="G45" i="16"/>
  <c r="F45" i="16"/>
  <c r="V44" i="16"/>
  <c r="U44" i="16"/>
  <c r="T44" i="16"/>
  <c r="S44" i="16"/>
  <c r="R44" i="16"/>
  <c r="Q44" i="16"/>
  <c r="P44" i="16"/>
  <c r="O44" i="16"/>
  <c r="N44" i="16"/>
  <c r="M44" i="16"/>
  <c r="L44" i="16"/>
  <c r="K44" i="16"/>
  <c r="J44" i="16"/>
  <c r="I44" i="16"/>
  <c r="H44" i="16"/>
  <c r="G44" i="16"/>
  <c r="F44" i="16"/>
  <c r="V43" i="16"/>
  <c r="U43" i="16"/>
  <c r="T43" i="16"/>
  <c r="S43" i="16"/>
  <c r="R43" i="16"/>
  <c r="Q43" i="16"/>
  <c r="P43" i="16"/>
  <c r="O43" i="16"/>
  <c r="N43" i="16"/>
  <c r="M43" i="16"/>
  <c r="L43" i="16"/>
  <c r="K43" i="16"/>
  <c r="J43" i="16"/>
  <c r="I43" i="16"/>
  <c r="H43" i="16"/>
  <c r="G43" i="16"/>
  <c r="F43" i="16"/>
  <c r="V42" i="16"/>
  <c r="U42" i="16"/>
  <c r="T42" i="16"/>
  <c r="S42" i="16"/>
  <c r="R42" i="16"/>
  <c r="Q42" i="16"/>
  <c r="P42" i="16"/>
  <c r="O42" i="16"/>
  <c r="N42" i="16"/>
  <c r="M42" i="16"/>
  <c r="L42" i="16"/>
  <c r="K42" i="16"/>
  <c r="J42" i="16"/>
  <c r="I42" i="16"/>
  <c r="H42" i="16"/>
  <c r="G42" i="16"/>
  <c r="F42" i="16"/>
  <c r="V41" i="16"/>
  <c r="U41" i="16"/>
  <c r="T41" i="16"/>
  <c r="S41" i="16"/>
  <c r="R41" i="16"/>
  <c r="Q41" i="16"/>
  <c r="P41" i="16"/>
  <c r="O41" i="16"/>
  <c r="N41" i="16"/>
  <c r="M41" i="16"/>
  <c r="L41" i="16"/>
  <c r="K41" i="16"/>
  <c r="J41" i="16"/>
  <c r="I41" i="16"/>
  <c r="H41" i="16"/>
  <c r="G41" i="16"/>
  <c r="F41" i="16"/>
  <c r="V40" i="16"/>
  <c r="U40" i="16"/>
  <c r="T40" i="16"/>
  <c r="S40" i="16"/>
  <c r="R40" i="16"/>
  <c r="Q40" i="16"/>
  <c r="P40" i="16"/>
  <c r="O40" i="16"/>
  <c r="N40" i="16"/>
  <c r="M40" i="16"/>
  <c r="L40" i="16"/>
  <c r="K40" i="16"/>
  <c r="J40" i="16"/>
  <c r="I40" i="16"/>
  <c r="H40" i="16"/>
  <c r="G40" i="16"/>
  <c r="F40" i="16"/>
  <c r="V39" i="16"/>
  <c r="U39" i="16"/>
  <c r="T39" i="16"/>
  <c r="S39" i="16"/>
  <c r="R39" i="16"/>
  <c r="Q39" i="16"/>
  <c r="P39" i="16"/>
  <c r="O39" i="16"/>
  <c r="N39" i="16"/>
  <c r="M39" i="16"/>
  <c r="L39" i="16"/>
  <c r="K39" i="16"/>
  <c r="J39" i="16"/>
  <c r="I39" i="16"/>
  <c r="H39" i="16"/>
  <c r="G39" i="16"/>
  <c r="F39" i="16"/>
  <c r="V38" i="16"/>
  <c r="U38" i="16"/>
  <c r="T38" i="16"/>
  <c r="S38" i="16"/>
  <c r="R38" i="16"/>
  <c r="Q38" i="16"/>
  <c r="P38" i="16"/>
  <c r="O38" i="16"/>
  <c r="N38" i="16"/>
  <c r="M38" i="16"/>
  <c r="L38" i="16"/>
  <c r="K38" i="16"/>
  <c r="J38" i="16"/>
  <c r="I38" i="16"/>
  <c r="H38" i="16"/>
  <c r="G38" i="16"/>
  <c r="F38" i="16"/>
  <c r="V37" i="16"/>
  <c r="U37" i="16"/>
  <c r="T37" i="16"/>
  <c r="S37" i="16"/>
  <c r="R37" i="16"/>
  <c r="Q37" i="16"/>
  <c r="P37" i="16"/>
  <c r="O37" i="16"/>
  <c r="N37" i="16"/>
  <c r="M37" i="16"/>
  <c r="L37" i="16"/>
  <c r="K37" i="16"/>
  <c r="J37" i="16"/>
  <c r="I37" i="16"/>
  <c r="H37" i="16"/>
  <c r="G37" i="16"/>
  <c r="F37" i="16"/>
  <c r="V36" i="16"/>
  <c r="U36" i="16"/>
  <c r="T36" i="16"/>
  <c r="S36" i="16"/>
  <c r="R36" i="16"/>
  <c r="Q36" i="16"/>
  <c r="P36" i="16"/>
  <c r="O36" i="16"/>
  <c r="N36" i="16"/>
  <c r="M36" i="16"/>
  <c r="L36" i="16"/>
  <c r="K36" i="16"/>
  <c r="J36" i="16"/>
  <c r="I36" i="16"/>
  <c r="H36" i="16"/>
  <c r="G36" i="16"/>
  <c r="F36" i="16"/>
  <c r="V35" i="16"/>
  <c r="U35" i="16"/>
  <c r="T35" i="16"/>
  <c r="S35" i="16"/>
  <c r="R35" i="16"/>
  <c r="Q35" i="16"/>
  <c r="P35" i="16"/>
  <c r="O35" i="16"/>
  <c r="N35" i="16"/>
  <c r="M35" i="16"/>
  <c r="L35" i="16"/>
  <c r="K35" i="16"/>
  <c r="J35" i="16"/>
  <c r="I35" i="16"/>
  <c r="H35" i="16"/>
  <c r="G35" i="16"/>
  <c r="F35" i="16"/>
  <c r="V34" i="16"/>
  <c r="U34" i="16"/>
  <c r="T34" i="16"/>
  <c r="S34" i="16"/>
  <c r="R34" i="16"/>
  <c r="Q34" i="16"/>
  <c r="P34" i="16"/>
  <c r="O34" i="16"/>
  <c r="N34" i="16"/>
  <c r="M34" i="16"/>
  <c r="L34" i="16"/>
  <c r="K34" i="16"/>
  <c r="J34" i="16"/>
  <c r="I34" i="16"/>
  <c r="H34" i="16"/>
  <c r="G34" i="16"/>
  <c r="F34" i="16"/>
  <c r="V33" i="16"/>
  <c r="U33" i="16"/>
  <c r="T33" i="16"/>
  <c r="S33" i="16"/>
  <c r="R33" i="16"/>
  <c r="Q33" i="16"/>
  <c r="P33" i="16"/>
  <c r="O33" i="16"/>
  <c r="N33" i="16"/>
  <c r="M33" i="16"/>
  <c r="L33" i="16"/>
  <c r="K33" i="16"/>
  <c r="J33" i="16"/>
  <c r="I33" i="16"/>
  <c r="H33" i="16"/>
  <c r="G33" i="16"/>
  <c r="F33" i="16"/>
  <c r="V32" i="16"/>
  <c r="U32" i="16"/>
  <c r="T32" i="16"/>
  <c r="S32" i="16"/>
  <c r="R32" i="16"/>
  <c r="Q32" i="16"/>
  <c r="P32" i="16"/>
  <c r="O32" i="16"/>
  <c r="N32" i="16"/>
  <c r="M32" i="16"/>
  <c r="L32" i="16"/>
  <c r="K32" i="16"/>
  <c r="J32" i="16"/>
  <c r="I32" i="16"/>
  <c r="H32" i="16"/>
  <c r="G32" i="16"/>
  <c r="F32" i="16"/>
  <c r="V31" i="16"/>
  <c r="U31" i="16"/>
  <c r="T31" i="16"/>
  <c r="S31" i="16"/>
  <c r="R31" i="16"/>
  <c r="Q31" i="16"/>
  <c r="P31" i="16"/>
  <c r="O31" i="16"/>
  <c r="N31" i="16"/>
  <c r="M31" i="16"/>
  <c r="L31" i="16"/>
  <c r="K31" i="16"/>
  <c r="J31" i="16"/>
  <c r="I31" i="16"/>
  <c r="H31" i="16"/>
  <c r="G31" i="16"/>
  <c r="F31" i="16"/>
  <c r="P61" i="86"/>
  <c r="O61" i="86"/>
  <c r="O60" i="86"/>
  <c r="O64" i="86"/>
  <c r="O44" i="86"/>
  <c r="P60" i="86"/>
  <c r="P64" i="86"/>
  <c r="J3" i="65"/>
  <c r="J37" i="151"/>
  <c r="N37" i="150"/>
  <c r="N35" i="149"/>
  <c r="H37" i="148"/>
  <c r="H37" i="147"/>
  <c r="J37" i="146"/>
  <c r="G37" i="145"/>
  <c r="I37" i="144"/>
  <c r="G37" i="143"/>
  <c r="N36" i="142"/>
  <c r="N37" i="139"/>
  <c r="J37" i="138"/>
  <c r="N36" i="137"/>
  <c r="I37" i="136"/>
  <c r="I37" i="135"/>
  <c r="H37" i="134"/>
  <c r="I37" i="128"/>
  <c r="H37" i="127"/>
  <c r="I37" i="151"/>
  <c r="J37" i="150"/>
  <c r="N37" i="149"/>
  <c r="G37" i="148"/>
  <c r="G37" i="147"/>
  <c r="I37" i="146"/>
  <c r="N36" i="145"/>
  <c r="H37" i="144"/>
  <c r="N36" i="143"/>
  <c r="N35" i="142"/>
  <c r="N37" i="140"/>
  <c r="J37" i="139"/>
  <c r="I37" i="138"/>
  <c r="N35" i="137"/>
  <c r="H37" i="136"/>
  <c r="H37" i="135"/>
  <c r="G37" i="134"/>
  <c r="H37" i="128"/>
  <c r="G37" i="127"/>
  <c r="N56" i="86"/>
  <c r="H37" i="151"/>
  <c r="I37" i="150"/>
  <c r="J37" i="149"/>
  <c r="N36" i="147"/>
  <c r="H37" i="146"/>
  <c r="N35" i="145"/>
  <c r="G37" i="144"/>
  <c r="N35" i="143"/>
  <c r="J37" i="140"/>
  <c r="I37" i="139"/>
  <c r="H37" i="138"/>
  <c r="N37" i="137"/>
  <c r="G37" i="136"/>
  <c r="G37" i="135"/>
  <c r="N36" i="134"/>
  <c r="G37" i="128"/>
  <c r="N36" i="127"/>
  <c r="N63" i="86"/>
  <c r="G37" i="151"/>
  <c r="H37" i="150"/>
  <c r="I37" i="149"/>
  <c r="N36" i="148"/>
  <c r="N35" i="147"/>
  <c r="G37" i="146"/>
  <c r="N36" i="144"/>
  <c r="N37" i="142"/>
  <c r="I37" i="140"/>
  <c r="H37" i="139"/>
  <c r="G37" i="138"/>
  <c r="J37" i="137"/>
  <c r="N36" i="136"/>
  <c r="N36" i="135"/>
  <c r="N35" i="134"/>
  <c r="N36" i="128"/>
  <c r="N35" i="127"/>
  <c r="N62" i="86"/>
  <c r="N36" i="151"/>
  <c r="G37" i="150"/>
  <c r="H37" i="149"/>
  <c r="N35" i="148"/>
  <c r="N36" i="146"/>
  <c r="N37" i="145"/>
  <c r="N35" i="144"/>
  <c r="N37" i="143"/>
  <c r="J37" i="142"/>
  <c r="H37" i="140"/>
  <c r="G37" i="139"/>
  <c r="N36" i="138"/>
  <c r="I37" i="137"/>
  <c r="N35" i="135"/>
  <c r="N35" i="128"/>
  <c r="N61" i="86"/>
  <c r="N35" i="151"/>
  <c r="N36" i="150"/>
  <c r="G37" i="149"/>
  <c r="N37" i="148"/>
  <c r="N37" i="147"/>
  <c r="N35" i="146"/>
  <c r="J37" i="145"/>
  <c r="J37" i="143"/>
  <c r="I37" i="142"/>
  <c r="G37" i="140"/>
  <c r="N36" i="139"/>
  <c r="H37" i="137"/>
  <c r="N35" i="136"/>
  <c r="N37" i="134"/>
  <c r="N37" i="127"/>
  <c r="N35" i="150"/>
  <c r="N36" i="149"/>
  <c r="J37" i="148"/>
  <c r="J37" i="147"/>
  <c r="I37" i="145"/>
  <c r="N37" i="144"/>
  <c r="I37" i="143"/>
  <c r="H37" i="142"/>
  <c r="N36" i="140"/>
  <c r="N35" i="139"/>
  <c r="N35" i="138"/>
  <c r="G37" i="137"/>
  <c r="N37" i="136"/>
  <c r="N37" i="135"/>
  <c r="J37" i="134"/>
  <c r="N37" i="128"/>
  <c r="J37" i="127"/>
  <c r="N37" i="151"/>
  <c r="I37" i="148"/>
  <c r="I37" i="147"/>
  <c r="N37" i="146"/>
  <c r="H37" i="145"/>
  <c r="J37" i="144"/>
  <c r="H37" i="143"/>
  <c r="G37" i="142"/>
  <c r="N35" i="140"/>
  <c r="N37" i="138"/>
  <c r="J37" i="136"/>
  <c r="J37" i="135"/>
  <c r="I37" i="134"/>
  <c r="J37" i="128"/>
  <c r="I37" i="127"/>
  <c r="N59" i="86"/>
  <c r="N58" i="86"/>
  <c r="P57" i="86"/>
  <c r="Q12" i="86"/>
  <c r="N13" i="86"/>
  <c r="C1" i="86"/>
  <c r="O57" i="86"/>
  <c r="C5" i="67"/>
  <c r="N48" i="86"/>
  <c r="N40" i="86"/>
  <c r="C19" i="86"/>
  <c r="P13" i="86"/>
  <c r="C10" i="86"/>
  <c r="Q42" i="20"/>
  <c r="C34" i="86"/>
  <c r="B5" i="67"/>
  <c r="C6" i="86"/>
  <c r="N41" i="86"/>
  <c r="C30" i="86"/>
  <c r="C26" i="86"/>
  <c r="C23" i="86"/>
  <c r="C18" i="86"/>
  <c r="O13" i="86"/>
  <c r="C9" i="86"/>
  <c r="M42" i="20"/>
  <c r="N36" i="86"/>
  <c r="I5" i="67"/>
  <c r="B3" i="67"/>
  <c r="N42" i="86"/>
  <c r="C8" i="86"/>
  <c r="D42" i="20"/>
  <c r="J37" i="86"/>
  <c r="F5" i="67"/>
  <c r="N52" i="86"/>
  <c r="H37" i="86"/>
  <c r="C33" i="86"/>
  <c r="C29" i="86"/>
  <c r="C21" i="86"/>
  <c r="C16" i="86"/>
  <c r="H13" i="86"/>
  <c r="C4" i="86"/>
  <c r="D41" i="20"/>
  <c r="J41" i="20"/>
  <c r="G41" i="20"/>
  <c r="H5" i="67"/>
  <c r="C22" i="86"/>
  <c r="E5" i="67"/>
  <c r="N46" i="86"/>
  <c r="G37" i="86"/>
  <c r="C25" i="86"/>
  <c r="C13" i="86"/>
  <c r="C3" i="86"/>
  <c r="B39" i="20"/>
  <c r="B1" i="67"/>
  <c r="N60" i="86"/>
  <c r="D5" i="67"/>
  <c r="N50" i="86"/>
  <c r="N39" i="86"/>
  <c r="N35" i="86"/>
  <c r="C32" i="86"/>
  <c r="C31" i="86"/>
  <c r="C28" i="86"/>
  <c r="C27" i="86"/>
  <c r="C24" i="86"/>
  <c r="C20" i="86"/>
  <c r="C15" i="86"/>
  <c r="K12" i="86"/>
  <c r="M1" i="86"/>
  <c r="R42" i="20"/>
  <c r="N64" i="86"/>
  <c r="C21" i="65"/>
  <c r="C14" i="86"/>
  <c r="M41" i="20"/>
  <c r="C17" i="86"/>
  <c r="I37" i="86"/>
  <c r="Q41" i="20"/>
  <c r="G5" i="67"/>
  <c r="C7" i="86"/>
  <c r="N54" i="86"/>
  <c r="N37" i="86"/>
  <c r="C5" i="86"/>
  <c r="B27" i="16"/>
  <c r="V30" i="16"/>
  <c r="V56" i="16"/>
  <c r="N30" i="16"/>
  <c r="N56" i="16"/>
  <c r="F30" i="16"/>
  <c r="F56" i="16"/>
  <c r="AN4" i="16"/>
  <c r="AF4" i="16"/>
  <c r="X4" i="16"/>
  <c r="P4" i="16"/>
  <c r="H4" i="16"/>
  <c r="Y29" i="16"/>
  <c r="Y4" i="16"/>
  <c r="AA56" i="16"/>
  <c r="AE30" i="16"/>
  <c r="AS82" i="16"/>
  <c r="U30" i="16"/>
  <c r="U56" i="16"/>
  <c r="M30" i="16"/>
  <c r="M56" i="16"/>
  <c r="E30" i="16"/>
  <c r="E56" i="16"/>
  <c r="AM4" i="16"/>
  <c r="AE4" i="16"/>
  <c r="W4" i="16"/>
  <c r="O4" i="16"/>
  <c r="G4" i="16"/>
  <c r="M4" i="16"/>
  <c r="Y55" i="16"/>
  <c r="AS81" i="16"/>
  <c r="J30" i="16"/>
  <c r="J56" i="16"/>
  <c r="AB4" i="16"/>
  <c r="T4" i="16"/>
  <c r="W30" i="16"/>
  <c r="W56" i="16"/>
  <c r="AG4" i="16"/>
  <c r="Y56" i="16"/>
  <c r="AD30" i="16"/>
  <c r="T30" i="16"/>
  <c r="T56" i="16"/>
  <c r="L30" i="16"/>
  <c r="L56" i="16"/>
  <c r="D30" i="16"/>
  <c r="D56" i="16"/>
  <c r="AL4" i="16"/>
  <c r="AD4" i="16"/>
  <c r="V4" i="16"/>
  <c r="N4" i="16"/>
  <c r="F4" i="16"/>
  <c r="U4" i="16"/>
  <c r="AA30" i="16"/>
  <c r="AJ4" i="16"/>
  <c r="L4" i="16"/>
  <c r="G30" i="16"/>
  <c r="G56" i="16"/>
  <c r="Q4" i="16"/>
  <c r="AA55" i="16"/>
  <c r="AC30" i="16"/>
  <c r="S30" i="16"/>
  <c r="S56" i="16"/>
  <c r="K30" i="16"/>
  <c r="K56" i="16"/>
  <c r="AC29" i="16"/>
  <c r="AK4" i="16"/>
  <c r="AC4" i="16"/>
  <c r="E4" i="16"/>
  <c r="R30" i="16"/>
  <c r="R56" i="16"/>
  <c r="D4" i="16"/>
  <c r="AO4" i="16"/>
  <c r="B53" i="16"/>
  <c r="Z30" i="16"/>
  <c r="Q30" i="16"/>
  <c r="Q56" i="16"/>
  <c r="I30" i="16"/>
  <c r="I56" i="16"/>
  <c r="AQ4" i="16"/>
  <c r="AI4" i="16"/>
  <c r="AA4" i="16"/>
  <c r="S4" i="16"/>
  <c r="K4" i="16"/>
  <c r="B1" i="16"/>
  <c r="Y30" i="16"/>
  <c r="P30" i="16"/>
  <c r="P56" i="16"/>
  <c r="H30" i="16"/>
  <c r="H56" i="16"/>
  <c r="AP4" i="16"/>
  <c r="AH4" i="16"/>
  <c r="Z4" i="16"/>
  <c r="R4" i="16"/>
  <c r="J4" i="16"/>
  <c r="B79" i="16"/>
  <c r="O30" i="16"/>
  <c r="O56" i="16"/>
  <c r="I4" i="16"/>
  <c r="C31" i="65"/>
  <c r="C25" i="65"/>
  <c r="C27" i="65"/>
  <c r="C29" i="65"/>
  <c r="B23" i="65"/>
  <c r="B5" i="65"/>
  <c r="F34" i="65"/>
  <c r="E41" i="65"/>
  <c r="H34" i="65"/>
  <c r="D35" i="65"/>
  <c r="D37" i="65"/>
  <c r="D38" i="65"/>
  <c r="E40" i="65"/>
  <c r="I34" i="65"/>
  <c r="D36" i="65"/>
  <c r="H33" i="65"/>
  <c r="E33" i="65"/>
  <c r="E34" i="65"/>
  <c r="C11" i="65"/>
  <c r="C17" i="65"/>
  <c r="C7" i="65"/>
  <c r="C9" i="65"/>
  <c r="C13" i="65"/>
  <c r="C15" i="65"/>
  <c r="C19" i="65"/>
  <c r="B1" i="65"/>
  <c r="N54" i="139"/>
  <c r="N54" i="151"/>
  <c r="N54" i="147"/>
  <c r="N54" i="140"/>
  <c r="N54" i="136"/>
  <c r="N54" i="148"/>
  <c r="N54" i="137"/>
  <c r="N54" i="149"/>
  <c r="N54" i="145"/>
  <c r="N54" i="138"/>
  <c r="N54" i="150"/>
  <c r="N54" i="135"/>
  <c r="N54" i="146"/>
  <c r="N54" i="128"/>
  <c r="N54" i="142"/>
  <c r="N54" i="127"/>
  <c r="N54" i="144"/>
  <c r="N54" i="143"/>
  <c r="N54" i="134"/>
  <c r="N27" i="86"/>
  <c r="C27" i="137"/>
  <c r="C27" i="149"/>
  <c r="C27" i="138"/>
  <c r="C27" i="150"/>
  <c r="C27" i="139"/>
  <c r="C27" i="151"/>
  <c r="C27" i="147"/>
  <c r="C27" i="140"/>
  <c r="C27" i="136"/>
  <c r="C27" i="148"/>
  <c r="C27" i="145"/>
  <c r="C27" i="144"/>
  <c r="C27" i="134"/>
  <c r="C18" i="16"/>
  <c r="C27" i="146"/>
  <c r="C27" i="142"/>
  <c r="C27" i="135"/>
  <c r="C27" i="127"/>
  <c r="C27" i="143"/>
  <c r="C27" i="128"/>
  <c r="N60" i="134"/>
  <c r="N60" i="144"/>
  <c r="N60" i="127"/>
  <c r="N60" i="128"/>
  <c r="N60" i="148"/>
  <c r="N60" i="136"/>
  <c r="N60" i="140"/>
  <c r="N60" i="149"/>
  <c r="N60" i="137"/>
  <c r="N60" i="145"/>
  <c r="N60" i="146"/>
  <c r="N60" i="150"/>
  <c r="N60" i="138"/>
  <c r="N60" i="135"/>
  <c r="N60" i="142"/>
  <c r="N60" i="143"/>
  <c r="N60" i="147"/>
  <c r="N60" i="151"/>
  <c r="N60" i="139"/>
  <c r="C16" i="138"/>
  <c r="C16" i="150"/>
  <c r="C16" i="139"/>
  <c r="C16" i="151"/>
  <c r="C16" i="147"/>
  <c r="C16" i="140"/>
  <c r="C16" i="136"/>
  <c r="C16" i="148"/>
  <c r="C16" i="137"/>
  <c r="C16" i="149"/>
  <c r="C7" i="16"/>
  <c r="C16" i="135"/>
  <c r="C16" i="146"/>
  <c r="C16" i="128"/>
  <c r="C16" i="142"/>
  <c r="C16" i="127"/>
  <c r="C16" i="145"/>
  <c r="C16" i="144"/>
  <c r="C16" i="134"/>
  <c r="C16" i="143"/>
  <c r="O13" i="140"/>
  <c r="O13" i="136"/>
  <c r="O13" i="148"/>
  <c r="O13" i="137"/>
  <c r="O13" i="149"/>
  <c r="O13" i="145"/>
  <c r="O13" i="138"/>
  <c r="O13" i="150"/>
  <c r="O13" i="146"/>
  <c r="O13" i="147"/>
  <c r="O13" i="142"/>
  <c r="O13" i="127"/>
  <c r="O13" i="139"/>
  <c r="O13" i="151"/>
  <c r="O13" i="135"/>
  <c r="O13" i="144"/>
  <c r="O13" i="134"/>
  <c r="O13" i="143"/>
  <c r="O13" i="128"/>
  <c r="N34" i="86"/>
  <c r="C34" i="140"/>
  <c r="C34" i="136"/>
  <c r="C34" i="148"/>
  <c r="C34" i="137"/>
  <c r="C34" i="149"/>
  <c r="C25" i="16"/>
  <c r="C34" i="138"/>
  <c r="C34" i="150"/>
  <c r="C34" i="139"/>
  <c r="C34" i="151"/>
  <c r="C34" i="143"/>
  <c r="C34" i="128"/>
  <c r="C34" i="145"/>
  <c r="C34" i="144"/>
  <c r="C34" i="147"/>
  <c r="C34" i="146"/>
  <c r="C34" i="142"/>
  <c r="C34" i="135"/>
  <c r="C34" i="127"/>
  <c r="C34" i="134"/>
  <c r="O57" i="127"/>
  <c r="O57" i="142"/>
  <c r="O57" i="143"/>
  <c r="O57" i="144"/>
  <c r="O57" i="145"/>
  <c r="O57" i="146"/>
  <c r="O57" i="150"/>
  <c r="O57" i="138"/>
  <c r="O57" i="128"/>
  <c r="O57" i="134"/>
  <c r="O57" i="135"/>
  <c r="O57" i="147"/>
  <c r="O57" i="151"/>
  <c r="O57" i="139"/>
  <c r="O57" i="148"/>
  <c r="O57" i="136"/>
  <c r="O57" i="140"/>
  <c r="O57" i="149"/>
  <c r="O57" i="137"/>
  <c r="N63" i="135"/>
  <c r="N63" i="145"/>
  <c r="N63" i="149"/>
  <c r="N63" i="137"/>
  <c r="N63" i="146"/>
  <c r="N63" i="150"/>
  <c r="N63" i="138"/>
  <c r="N63" i="142"/>
  <c r="N63" i="143"/>
  <c r="N63" i="144"/>
  <c r="N63" i="147"/>
  <c r="N63" i="151"/>
  <c r="N63" i="139"/>
  <c r="N63" i="127"/>
  <c r="N63" i="128"/>
  <c r="N63" i="134"/>
  <c r="N63" i="148"/>
  <c r="N63" i="136"/>
  <c r="N63" i="140"/>
  <c r="C7" i="138"/>
  <c r="C7" i="150"/>
  <c r="C7" i="139"/>
  <c r="C7" i="151"/>
  <c r="C7" i="147"/>
  <c r="C7" i="140"/>
  <c r="C7" i="136"/>
  <c r="C7" i="148"/>
  <c r="C7" i="137"/>
  <c r="C7" i="149"/>
  <c r="C7" i="135"/>
  <c r="C7" i="145"/>
  <c r="C7" i="146"/>
  <c r="C7" i="127"/>
  <c r="C7" i="144"/>
  <c r="C7" i="134"/>
  <c r="C7" i="143"/>
  <c r="C7" i="128"/>
  <c r="C7" i="142"/>
  <c r="N64" i="127"/>
  <c r="N64" i="142"/>
  <c r="N64" i="146"/>
  <c r="N64" i="150"/>
  <c r="N64" i="138"/>
  <c r="N64" i="143"/>
  <c r="N64" i="144"/>
  <c r="N64" i="145"/>
  <c r="N64" i="147"/>
  <c r="N64" i="151"/>
  <c r="N64" i="139"/>
  <c r="N64" i="128"/>
  <c r="N64" i="134"/>
  <c r="N64" i="135"/>
  <c r="N64" i="148"/>
  <c r="N64" i="136"/>
  <c r="N64" i="140"/>
  <c r="N64" i="149"/>
  <c r="N64" i="137"/>
  <c r="C28" i="138"/>
  <c r="C28" i="150"/>
  <c r="C28" i="139"/>
  <c r="C28" i="151"/>
  <c r="C28" i="147"/>
  <c r="C28" i="140"/>
  <c r="C28" i="136"/>
  <c r="C28" i="148"/>
  <c r="C28" i="137"/>
  <c r="C28" i="149"/>
  <c r="C19" i="16"/>
  <c r="C28" i="135"/>
  <c r="C28" i="146"/>
  <c r="C28" i="144"/>
  <c r="C28" i="134"/>
  <c r="C28" i="143"/>
  <c r="C28" i="128"/>
  <c r="C28" i="145"/>
  <c r="C28" i="142"/>
  <c r="C28" i="127"/>
  <c r="C22" i="140"/>
  <c r="C22" i="136"/>
  <c r="C22" i="148"/>
  <c r="C22" i="137"/>
  <c r="C22" i="149"/>
  <c r="C13" i="16"/>
  <c r="C22" i="138"/>
  <c r="C22" i="150"/>
  <c r="C22" i="139"/>
  <c r="C22" i="151"/>
  <c r="C22" i="143"/>
  <c r="C22" i="128"/>
  <c r="C22" i="147"/>
  <c r="C22" i="145"/>
  <c r="C22" i="146"/>
  <c r="C22" i="142"/>
  <c r="C22" i="135"/>
  <c r="C22" i="127"/>
  <c r="C22" i="144"/>
  <c r="C22" i="134"/>
  <c r="C21" i="139"/>
  <c r="C21" i="151"/>
  <c r="C21" i="147"/>
  <c r="C21" i="140"/>
  <c r="C21" i="136"/>
  <c r="C21" i="148"/>
  <c r="C21" i="137"/>
  <c r="C21" i="149"/>
  <c r="C12" i="16"/>
  <c r="C21" i="138"/>
  <c r="C21" i="150"/>
  <c r="C21" i="142"/>
  <c r="C21" i="127"/>
  <c r="C21" i="145"/>
  <c r="C21" i="135"/>
  <c r="C21" i="144"/>
  <c r="C21" i="134"/>
  <c r="C21" i="143"/>
  <c r="C21" i="146"/>
  <c r="C21" i="128"/>
  <c r="C8" i="140"/>
  <c r="C8" i="136"/>
  <c r="C8" i="148"/>
  <c r="C8" i="137"/>
  <c r="C8" i="149"/>
  <c r="C8" i="145"/>
  <c r="C8" i="138"/>
  <c r="C8" i="150"/>
  <c r="C8" i="146"/>
  <c r="C8" i="151"/>
  <c r="C8" i="142"/>
  <c r="C8" i="127"/>
  <c r="C8" i="147"/>
  <c r="C8" i="139"/>
  <c r="C8" i="144"/>
  <c r="C8" i="135"/>
  <c r="C8" i="134"/>
  <c r="C8" i="143"/>
  <c r="C8" i="128"/>
  <c r="C18" i="140"/>
  <c r="C18" i="136"/>
  <c r="C18" i="148"/>
  <c r="C18" i="137"/>
  <c r="C18" i="149"/>
  <c r="C9" i="16"/>
  <c r="C18" i="138"/>
  <c r="C18" i="150"/>
  <c r="C18" i="139"/>
  <c r="C18" i="151"/>
  <c r="C18" i="143"/>
  <c r="C18" i="128"/>
  <c r="C18" i="145"/>
  <c r="C18" i="146"/>
  <c r="C18" i="147"/>
  <c r="C18" i="142"/>
  <c r="C18" i="135"/>
  <c r="C18" i="127"/>
  <c r="C18" i="144"/>
  <c r="C18" i="134"/>
  <c r="C1" i="139"/>
  <c r="C1" i="151"/>
  <c r="C1" i="140"/>
  <c r="C1" i="136"/>
  <c r="C1" i="148"/>
  <c r="C1" i="137"/>
  <c r="C1" i="149"/>
  <c r="C1" i="138"/>
  <c r="C1" i="150"/>
  <c r="C1" i="142"/>
  <c r="C1" i="127"/>
  <c r="C1" i="146"/>
  <c r="C1" i="147"/>
  <c r="C1" i="143"/>
  <c r="C1" i="128"/>
  <c r="C1" i="145"/>
  <c r="C1" i="144"/>
  <c r="C1" i="135"/>
  <c r="C1" i="134"/>
  <c r="N31" i="86"/>
  <c r="C31" i="137"/>
  <c r="C31" i="149"/>
  <c r="C31" i="138"/>
  <c r="C31" i="150"/>
  <c r="C31" i="139"/>
  <c r="C31" i="151"/>
  <c r="C31" i="147"/>
  <c r="C31" i="140"/>
  <c r="C31" i="136"/>
  <c r="C31" i="148"/>
  <c r="C31" i="145"/>
  <c r="C31" i="144"/>
  <c r="C31" i="134"/>
  <c r="C31" i="146"/>
  <c r="C22" i="16"/>
  <c r="C31" i="142"/>
  <c r="C31" i="135"/>
  <c r="C31" i="127"/>
  <c r="C31" i="143"/>
  <c r="C31" i="128"/>
  <c r="N29" i="86"/>
  <c r="C29" i="139"/>
  <c r="C29" i="151"/>
  <c r="C29" i="147"/>
  <c r="C29" i="140"/>
  <c r="C29" i="136"/>
  <c r="C29" i="148"/>
  <c r="C29" i="137"/>
  <c r="C29" i="149"/>
  <c r="C20" i="16"/>
  <c r="C29" i="138"/>
  <c r="C29" i="150"/>
  <c r="C29" i="142"/>
  <c r="C29" i="127"/>
  <c r="C29" i="145"/>
  <c r="C29" i="143"/>
  <c r="C29" i="128"/>
  <c r="C29" i="146"/>
  <c r="C29" i="135"/>
  <c r="C29" i="144"/>
  <c r="C29" i="134"/>
  <c r="N42" i="138"/>
  <c r="N42" i="150"/>
  <c r="N42" i="139"/>
  <c r="N42" i="151"/>
  <c r="N42" i="147"/>
  <c r="N42" i="140"/>
  <c r="N42" i="136"/>
  <c r="N42" i="148"/>
  <c r="N42" i="137"/>
  <c r="N42" i="149"/>
  <c r="N42" i="135"/>
  <c r="N42" i="146"/>
  <c r="N42" i="142"/>
  <c r="N42" i="127"/>
  <c r="N42" i="143"/>
  <c r="N42" i="134"/>
  <c r="N42" i="128"/>
  <c r="N42" i="145"/>
  <c r="N42" i="144"/>
  <c r="C23" i="137"/>
  <c r="C23" i="149"/>
  <c r="C23" i="138"/>
  <c r="C23" i="150"/>
  <c r="C23" i="139"/>
  <c r="C23" i="151"/>
  <c r="C23" i="147"/>
  <c r="C23" i="140"/>
  <c r="C23" i="136"/>
  <c r="C23" i="148"/>
  <c r="C14" i="16"/>
  <c r="C23" i="145"/>
  <c r="C23" i="144"/>
  <c r="C23" i="134"/>
  <c r="C23" i="146"/>
  <c r="C23" i="135"/>
  <c r="C23" i="127"/>
  <c r="C23" i="143"/>
  <c r="C23" i="128"/>
  <c r="C23" i="142"/>
  <c r="N10" i="86"/>
  <c r="C10" i="137"/>
  <c r="C10" i="149"/>
  <c r="C10" i="145"/>
  <c r="C10" i="138"/>
  <c r="C10" i="150"/>
  <c r="C10" i="146"/>
  <c r="C10" i="139"/>
  <c r="C10" i="151"/>
  <c r="C10" i="147"/>
  <c r="C10" i="143"/>
  <c r="C10" i="128"/>
  <c r="C10" i="144"/>
  <c r="C10" i="140"/>
  <c r="C10" i="136"/>
  <c r="C10" i="148"/>
  <c r="C10" i="134"/>
  <c r="C10" i="142"/>
  <c r="C10" i="135"/>
  <c r="C10" i="127"/>
  <c r="N13" i="138"/>
  <c r="N13" i="150"/>
  <c r="N13" i="139"/>
  <c r="N13" i="151"/>
  <c r="N13" i="147"/>
  <c r="N13" i="140"/>
  <c r="N13" i="136"/>
  <c r="N13" i="148"/>
  <c r="N13" i="137"/>
  <c r="N13" i="149"/>
  <c r="N13" i="146"/>
  <c r="N13" i="135"/>
  <c r="N13" i="145"/>
  <c r="N13" i="142"/>
  <c r="N13" i="127"/>
  <c r="N13" i="144"/>
  <c r="N13" i="134"/>
  <c r="N13" i="143"/>
  <c r="N13" i="128"/>
  <c r="N56" i="135"/>
  <c r="N56" i="145"/>
  <c r="N56" i="149"/>
  <c r="N56" i="137"/>
  <c r="N56" i="142"/>
  <c r="N56" i="143"/>
  <c r="N56" i="144"/>
  <c r="N56" i="146"/>
  <c r="N56" i="150"/>
  <c r="N56" i="138"/>
  <c r="N56" i="127"/>
  <c r="N56" i="128"/>
  <c r="N56" i="134"/>
  <c r="N56" i="147"/>
  <c r="N56" i="151"/>
  <c r="N56" i="139"/>
  <c r="N56" i="148"/>
  <c r="N56" i="136"/>
  <c r="N56" i="140"/>
  <c r="M1" i="137"/>
  <c r="M1" i="149"/>
  <c r="M1" i="145"/>
  <c r="M1" i="138"/>
  <c r="M1" i="150"/>
  <c r="M1" i="146"/>
  <c r="M1" i="139"/>
  <c r="M1" i="151"/>
  <c r="M1" i="147"/>
  <c r="M1" i="148"/>
  <c r="M1" i="143"/>
  <c r="M1" i="128"/>
  <c r="M1" i="140"/>
  <c r="M1" i="136"/>
  <c r="M1" i="142"/>
  <c r="M1" i="144"/>
  <c r="M1" i="135"/>
  <c r="M1" i="127"/>
  <c r="M1" i="134"/>
  <c r="C32" i="138"/>
  <c r="C32" i="150"/>
  <c r="C32" i="139"/>
  <c r="C32" i="151"/>
  <c r="C32" i="147"/>
  <c r="C32" i="140"/>
  <c r="C32" i="136"/>
  <c r="C32" i="148"/>
  <c r="C32" i="137"/>
  <c r="C32" i="149"/>
  <c r="C23" i="16"/>
  <c r="C32" i="135"/>
  <c r="C32" i="146"/>
  <c r="C32" i="127"/>
  <c r="C32" i="145"/>
  <c r="C32" i="134"/>
  <c r="C32" i="144"/>
  <c r="C32" i="143"/>
  <c r="C32" i="128"/>
  <c r="C32" i="142"/>
  <c r="C3" i="140"/>
  <c r="C3" i="136"/>
  <c r="C3" i="148"/>
  <c r="C3" i="137"/>
  <c r="C3" i="149"/>
  <c r="C3" i="138"/>
  <c r="C3" i="150"/>
  <c r="C3" i="139"/>
  <c r="C3" i="151"/>
  <c r="C3" i="146"/>
  <c r="C3" i="143"/>
  <c r="C3" i="128"/>
  <c r="C3" i="147"/>
  <c r="C3" i="145"/>
  <c r="C3" i="142"/>
  <c r="C3" i="144"/>
  <c r="C3" i="135"/>
  <c r="C3" i="127"/>
  <c r="C3" i="134"/>
  <c r="C33" i="139"/>
  <c r="C33" i="151"/>
  <c r="C33" i="147"/>
  <c r="C33" i="140"/>
  <c r="C33" i="136"/>
  <c r="C33" i="148"/>
  <c r="C33" i="137"/>
  <c r="C33" i="149"/>
  <c r="C24" i="16"/>
  <c r="C33" i="138"/>
  <c r="C33" i="150"/>
  <c r="C33" i="142"/>
  <c r="C33" i="127"/>
  <c r="C33" i="145"/>
  <c r="C33" i="144"/>
  <c r="C33" i="146"/>
  <c r="C33" i="134"/>
  <c r="C33" i="143"/>
  <c r="C33" i="128"/>
  <c r="C33" i="135"/>
  <c r="C26" i="140"/>
  <c r="C26" i="136"/>
  <c r="C26" i="148"/>
  <c r="C26" i="137"/>
  <c r="C26" i="149"/>
  <c r="C17" i="16"/>
  <c r="C26" i="138"/>
  <c r="C26" i="150"/>
  <c r="C26" i="139"/>
  <c r="C26" i="151"/>
  <c r="C26" i="143"/>
  <c r="C26" i="128"/>
  <c r="C26" i="145"/>
  <c r="C26" i="147"/>
  <c r="C26" i="146"/>
  <c r="C26" i="142"/>
  <c r="C26" i="135"/>
  <c r="C26" i="127"/>
  <c r="C26" i="144"/>
  <c r="C26" i="134"/>
  <c r="P13" i="139"/>
  <c r="P13" i="151"/>
  <c r="P13" i="140"/>
  <c r="P13" i="136"/>
  <c r="P13" i="148"/>
  <c r="P13" i="137"/>
  <c r="P13" i="149"/>
  <c r="P13" i="138"/>
  <c r="P13" i="150"/>
  <c r="P13" i="142"/>
  <c r="P13" i="127"/>
  <c r="P13" i="145"/>
  <c r="P13" i="147"/>
  <c r="P13" i="146"/>
  <c r="P13" i="135"/>
  <c r="P13" i="144"/>
  <c r="P13" i="134"/>
  <c r="P13" i="143"/>
  <c r="P13" i="128"/>
  <c r="Q12" i="138"/>
  <c r="Q12" i="150"/>
  <c r="Q12" i="146"/>
  <c r="Q12" i="139"/>
  <c r="Q12" i="151"/>
  <c r="Q12" i="147"/>
  <c r="Q12" i="140"/>
  <c r="Q12" i="136"/>
  <c r="Q12" i="148"/>
  <c r="Q12" i="144"/>
  <c r="Q12" i="134"/>
  <c r="Q12" i="137"/>
  <c r="Q12" i="149"/>
  <c r="Q12" i="143"/>
  <c r="Q12" i="145"/>
  <c r="Q12" i="128"/>
  <c r="Q12" i="142"/>
  <c r="Q12" i="135"/>
  <c r="Q12" i="127"/>
  <c r="K12" i="140"/>
  <c r="K12" i="136"/>
  <c r="K12" i="148"/>
  <c r="K12" i="137"/>
  <c r="K12" i="149"/>
  <c r="K12" i="138"/>
  <c r="K12" i="150"/>
  <c r="K12" i="139"/>
  <c r="K12" i="151"/>
  <c r="K12" i="145"/>
  <c r="K12" i="143"/>
  <c r="K12" i="128"/>
  <c r="K12" i="147"/>
  <c r="K12" i="146"/>
  <c r="K12" i="142"/>
  <c r="K12" i="135"/>
  <c r="K12" i="127"/>
  <c r="K12" i="144"/>
  <c r="K12" i="134"/>
  <c r="C13" i="137"/>
  <c r="C13" i="149"/>
  <c r="C13" i="138"/>
  <c r="C13" i="150"/>
  <c r="C13" i="139"/>
  <c r="C13" i="151"/>
  <c r="C13" i="147"/>
  <c r="C13" i="140"/>
  <c r="C13" i="136"/>
  <c r="C13" i="148"/>
  <c r="C13" i="144"/>
  <c r="C13" i="134"/>
  <c r="C13" i="146"/>
  <c r="C13" i="143"/>
  <c r="C13" i="145"/>
  <c r="C13" i="128"/>
  <c r="C13" i="142"/>
  <c r="C13" i="135"/>
  <c r="C13" i="127"/>
  <c r="C30" i="140"/>
  <c r="C30" i="136"/>
  <c r="C30" i="148"/>
  <c r="C30" i="137"/>
  <c r="C30" i="149"/>
  <c r="C21" i="16"/>
  <c r="C30" i="138"/>
  <c r="C30" i="150"/>
  <c r="C30" i="139"/>
  <c r="C30" i="151"/>
  <c r="C30" i="147"/>
  <c r="C30" i="143"/>
  <c r="C30" i="128"/>
  <c r="C30" i="145"/>
  <c r="C30" i="144"/>
  <c r="C30" i="146"/>
  <c r="C30" i="142"/>
  <c r="C30" i="135"/>
  <c r="C30" i="127"/>
  <c r="C30" i="134"/>
  <c r="C19" i="137"/>
  <c r="C19" i="149"/>
  <c r="C19" i="138"/>
  <c r="C19" i="150"/>
  <c r="C19" i="139"/>
  <c r="C19" i="151"/>
  <c r="C19" i="147"/>
  <c r="C19" i="140"/>
  <c r="C19" i="136"/>
  <c r="C19" i="148"/>
  <c r="C19" i="145"/>
  <c r="C19" i="144"/>
  <c r="C19" i="134"/>
  <c r="C19" i="146"/>
  <c r="C10" i="16"/>
  <c r="C19" i="143"/>
  <c r="C19" i="128"/>
  <c r="C19" i="142"/>
  <c r="C19" i="135"/>
  <c r="C19" i="127"/>
  <c r="P57" i="127"/>
  <c r="P57" i="142"/>
  <c r="P57" i="143"/>
  <c r="P57" i="144"/>
  <c r="P57" i="145"/>
  <c r="P57" i="146"/>
  <c r="P57" i="150"/>
  <c r="P57" i="138"/>
  <c r="P57" i="128"/>
  <c r="P57" i="134"/>
  <c r="P57" i="135"/>
  <c r="P57" i="147"/>
  <c r="P57" i="151"/>
  <c r="P57" i="139"/>
  <c r="P57" i="148"/>
  <c r="P57" i="136"/>
  <c r="P57" i="140"/>
  <c r="P57" i="149"/>
  <c r="P57" i="137"/>
  <c r="C17" i="139"/>
  <c r="C17" i="151"/>
  <c r="C17" i="140"/>
  <c r="C17" i="136"/>
  <c r="C17" i="148"/>
  <c r="C17" i="137"/>
  <c r="C17" i="149"/>
  <c r="C8" i="16"/>
  <c r="C17" i="138"/>
  <c r="C17" i="150"/>
  <c r="C17" i="142"/>
  <c r="C17" i="127"/>
  <c r="C17" i="147"/>
  <c r="C17" i="145"/>
  <c r="C17" i="135"/>
  <c r="C17" i="146"/>
  <c r="C17" i="144"/>
  <c r="C17" i="134"/>
  <c r="C17" i="143"/>
  <c r="C17" i="128"/>
  <c r="C15" i="137"/>
  <c r="C15" i="149"/>
  <c r="C15" i="138"/>
  <c r="C15" i="150"/>
  <c r="C15" i="139"/>
  <c r="C15" i="151"/>
  <c r="C15" i="147"/>
  <c r="C15" i="140"/>
  <c r="C15" i="136"/>
  <c r="C15" i="148"/>
  <c r="C15" i="145"/>
  <c r="C15" i="144"/>
  <c r="C15" i="134"/>
  <c r="C6" i="16"/>
  <c r="C15" i="146"/>
  <c r="C15" i="143"/>
  <c r="C15" i="128"/>
  <c r="C15" i="142"/>
  <c r="C15" i="135"/>
  <c r="C15" i="127"/>
  <c r="N39" i="138"/>
  <c r="N39" i="150"/>
  <c r="N39" i="146"/>
  <c r="N39" i="139"/>
  <c r="N39" i="151"/>
  <c r="N39" i="147"/>
  <c r="N39" i="140"/>
  <c r="N39" i="136"/>
  <c r="N39" i="148"/>
  <c r="N39" i="145"/>
  <c r="N39" i="144"/>
  <c r="N39" i="134"/>
  <c r="N39" i="137"/>
  <c r="N39" i="149"/>
  <c r="N39" i="128"/>
  <c r="N39" i="142"/>
  <c r="N39" i="135"/>
  <c r="N39" i="127"/>
  <c r="N39" i="143"/>
  <c r="N25" i="86"/>
  <c r="C25" i="139"/>
  <c r="C25" i="151"/>
  <c r="C25" i="147"/>
  <c r="C25" i="140"/>
  <c r="C25" i="136"/>
  <c r="C25" i="148"/>
  <c r="C25" i="137"/>
  <c r="C25" i="149"/>
  <c r="C16" i="16"/>
  <c r="C25" i="138"/>
  <c r="C25" i="150"/>
  <c r="C25" i="142"/>
  <c r="C25" i="127"/>
  <c r="C25" i="145"/>
  <c r="C25" i="128"/>
  <c r="C25" i="146"/>
  <c r="C25" i="135"/>
  <c r="C25" i="144"/>
  <c r="C25" i="134"/>
  <c r="C25" i="143"/>
  <c r="N52" i="137"/>
  <c r="N52" i="149"/>
  <c r="N52" i="138"/>
  <c r="N52" i="150"/>
  <c r="N52" i="146"/>
  <c r="N52" i="139"/>
  <c r="N52" i="151"/>
  <c r="N52" i="147"/>
  <c r="N52" i="140"/>
  <c r="N52" i="136"/>
  <c r="N52" i="148"/>
  <c r="N52" i="144"/>
  <c r="N52" i="134"/>
  <c r="N52" i="145"/>
  <c r="N52" i="143"/>
  <c r="N52" i="128"/>
  <c r="N52" i="142"/>
  <c r="N52" i="127"/>
  <c r="N52" i="135"/>
  <c r="N41" i="139"/>
  <c r="N41" i="151"/>
  <c r="N41" i="147"/>
  <c r="N41" i="140"/>
  <c r="N41" i="136"/>
  <c r="N41" i="148"/>
  <c r="N41" i="137"/>
  <c r="N41" i="149"/>
  <c r="N41" i="145"/>
  <c r="N41" i="135"/>
  <c r="N41" i="138"/>
  <c r="N41" i="146"/>
  <c r="N41" i="150"/>
  <c r="N41" i="144"/>
  <c r="N41" i="142"/>
  <c r="N41" i="127"/>
  <c r="N41" i="143"/>
  <c r="N41" i="134"/>
  <c r="N41" i="128"/>
  <c r="N40" i="137"/>
  <c r="N40" i="149"/>
  <c r="N40" i="138"/>
  <c r="N40" i="150"/>
  <c r="N40" i="139"/>
  <c r="N40" i="151"/>
  <c r="N40" i="147"/>
  <c r="N40" i="140"/>
  <c r="N40" i="136"/>
  <c r="N40" i="148"/>
  <c r="N40" i="145"/>
  <c r="N40" i="144"/>
  <c r="N40" i="134"/>
  <c r="N40" i="146"/>
  <c r="N40" i="142"/>
  <c r="N40" i="135"/>
  <c r="N40" i="127"/>
  <c r="N40" i="143"/>
  <c r="N40" i="128"/>
  <c r="N58" i="128"/>
  <c r="N58" i="143"/>
  <c r="N58" i="134"/>
  <c r="N58" i="135"/>
  <c r="N58" i="142"/>
  <c r="N58" i="147"/>
  <c r="N58" i="151"/>
  <c r="N58" i="139"/>
  <c r="N58" i="127"/>
  <c r="N58" i="148"/>
  <c r="N58" i="136"/>
  <c r="N58" i="140"/>
  <c r="N58" i="149"/>
  <c r="N58" i="137"/>
  <c r="N58" i="144"/>
  <c r="N58" i="145"/>
  <c r="N58" i="146"/>
  <c r="N58" i="150"/>
  <c r="N58" i="138"/>
  <c r="C5" i="137"/>
  <c r="C5" i="149"/>
  <c r="C5" i="138"/>
  <c r="C5" i="150"/>
  <c r="C5" i="139"/>
  <c r="C5" i="151"/>
  <c r="C5" i="147"/>
  <c r="C5" i="140"/>
  <c r="C5" i="136"/>
  <c r="C5" i="148"/>
  <c r="C5" i="144"/>
  <c r="C5" i="134"/>
  <c r="C5" i="145"/>
  <c r="C5" i="142"/>
  <c r="C5" i="135"/>
  <c r="C5" i="127"/>
  <c r="C5" i="146"/>
  <c r="C5" i="143"/>
  <c r="C5" i="128"/>
  <c r="C20" i="138"/>
  <c r="C20" i="150"/>
  <c r="C20" i="139"/>
  <c r="C20" i="151"/>
  <c r="C20" i="147"/>
  <c r="C20" i="140"/>
  <c r="C20" i="136"/>
  <c r="C20" i="148"/>
  <c r="C20" i="137"/>
  <c r="C20" i="149"/>
  <c r="C11" i="16"/>
  <c r="C20" i="135"/>
  <c r="C20" i="146"/>
  <c r="C20" i="145"/>
  <c r="C20" i="143"/>
  <c r="C20" i="128"/>
  <c r="C20" i="142"/>
  <c r="C20" i="127"/>
  <c r="C20" i="144"/>
  <c r="C20" i="134"/>
  <c r="N50" i="138"/>
  <c r="N50" i="150"/>
  <c r="N50" i="146"/>
  <c r="N50" i="139"/>
  <c r="N50" i="151"/>
  <c r="N50" i="147"/>
  <c r="N50" i="140"/>
  <c r="N50" i="136"/>
  <c r="N50" i="148"/>
  <c r="N50" i="144"/>
  <c r="N50" i="134"/>
  <c r="N50" i="137"/>
  <c r="N50" i="145"/>
  <c r="N50" i="149"/>
  <c r="N50" i="143"/>
  <c r="N50" i="128"/>
  <c r="N50" i="142"/>
  <c r="N50" i="127"/>
  <c r="N50" i="135"/>
  <c r="C4" i="138"/>
  <c r="C4" i="150"/>
  <c r="C4" i="146"/>
  <c r="C4" i="139"/>
  <c r="C4" i="151"/>
  <c r="C4" i="147"/>
  <c r="C4" i="140"/>
  <c r="C4" i="136"/>
  <c r="C4" i="148"/>
  <c r="C4" i="144"/>
  <c r="C4" i="134"/>
  <c r="C4" i="145"/>
  <c r="C4" i="137"/>
  <c r="C4" i="149"/>
  <c r="C4" i="128"/>
  <c r="C4" i="142"/>
  <c r="C4" i="135"/>
  <c r="C4" i="127"/>
  <c r="C4" i="143"/>
  <c r="C6" i="139"/>
  <c r="C6" i="151"/>
  <c r="C6" i="147"/>
  <c r="C6" i="140"/>
  <c r="C6" i="136"/>
  <c r="C6" i="148"/>
  <c r="C6" i="137"/>
  <c r="C6" i="149"/>
  <c r="C6" i="145"/>
  <c r="C6" i="135"/>
  <c r="C6" i="138"/>
  <c r="C6" i="150"/>
  <c r="C6" i="142"/>
  <c r="C6" i="127"/>
  <c r="C6" i="146"/>
  <c r="C6" i="144"/>
  <c r="C6" i="134"/>
  <c r="C6" i="143"/>
  <c r="C6" i="128"/>
  <c r="N48" i="140"/>
  <c r="N48" i="136"/>
  <c r="N48" i="148"/>
  <c r="N48" i="137"/>
  <c r="N48" i="149"/>
  <c r="N48" i="138"/>
  <c r="N48" i="150"/>
  <c r="N48" i="139"/>
  <c r="N48" i="151"/>
  <c r="N48" i="147"/>
  <c r="N48" i="143"/>
  <c r="N48" i="128"/>
  <c r="N48" i="144"/>
  <c r="N48" i="145"/>
  <c r="N48" i="146"/>
  <c r="N48" i="134"/>
  <c r="N48" i="142"/>
  <c r="N48" i="127"/>
  <c r="N48" i="135"/>
  <c r="N59" i="128"/>
  <c r="N59" i="143"/>
  <c r="N59" i="134"/>
  <c r="N59" i="135"/>
  <c r="N59" i="142"/>
  <c r="N59" i="147"/>
  <c r="N59" i="151"/>
  <c r="N59" i="139"/>
  <c r="N59" i="127"/>
  <c r="N59" i="148"/>
  <c r="N59" i="136"/>
  <c r="N59" i="140"/>
  <c r="N59" i="149"/>
  <c r="N59" i="137"/>
  <c r="N59" i="144"/>
  <c r="N59" i="145"/>
  <c r="N59" i="146"/>
  <c r="N59" i="150"/>
  <c r="N59" i="138"/>
  <c r="N61" i="134"/>
  <c r="N61" i="144"/>
  <c r="N61" i="127"/>
  <c r="N61" i="128"/>
  <c r="N61" i="148"/>
  <c r="N61" i="136"/>
  <c r="N61" i="140"/>
  <c r="N61" i="149"/>
  <c r="N61" i="137"/>
  <c r="N61" i="145"/>
  <c r="N61" i="146"/>
  <c r="N61" i="150"/>
  <c r="N61" i="138"/>
  <c r="N61" i="135"/>
  <c r="N61" i="142"/>
  <c r="N61" i="143"/>
  <c r="N61" i="147"/>
  <c r="N61" i="151"/>
  <c r="N61" i="139"/>
  <c r="N62" i="135"/>
  <c r="N62" i="145"/>
  <c r="N62" i="149"/>
  <c r="N62" i="137"/>
  <c r="N62" i="146"/>
  <c r="N62" i="150"/>
  <c r="N62" i="138"/>
  <c r="N62" i="142"/>
  <c r="N62" i="143"/>
  <c r="N62" i="144"/>
  <c r="N62" i="147"/>
  <c r="N62" i="151"/>
  <c r="N62" i="139"/>
  <c r="N62" i="127"/>
  <c r="N62" i="128"/>
  <c r="N62" i="134"/>
  <c r="N62" i="148"/>
  <c r="N62" i="136"/>
  <c r="N62" i="140"/>
  <c r="C14" i="140"/>
  <c r="C14" i="136"/>
  <c r="C14" i="148"/>
  <c r="C14" i="137"/>
  <c r="C14" i="149"/>
  <c r="C5" i="16"/>
  <c r="C14" i="138"/>
  <c r="C14" i="150"/>
  <c r="C14" i="139"/>
  <c r="C14" i="151"/>
  <c r="C14" i="143"/>
  <c r="C14" i="128"/>
  <c r="C14" i="145"/>
  <c r="C14" i="147"/>
  <c r="C14" i="146"/>
  <c r="C14" i="135"/>
  <c r="C14" i="127"/>
  <c r="C14" i="144"/>
  <c r="C14" i="134"/>
  <c r="C14" i="142"/>
  <c r="C24" i="138"/>
  <c r="C24" i="150"/>
  <c r="C24" i="139"/>
  <c r="C24" i="151"/>
  <c r="C24" i="147"/>
  <c r="C24" i="140"/>
  <c r="C24" i="136"/>
  <c r="C24" i="148"/>
  <c r="C24" i="137"/>
  <c r="C24" i="149"/>
  <c r="C15" i="16"/>
  <c r="C24" i="135"/>
  <c r="C24" i="146"/>
  <c r="C24" i="144"/>
  <c r="C24" i="134"/>
  <c r="C24" i="143"/>
  <c r="C24" i="128"/>
  <c r="C24" i="145"/>
  <c r="C24" i="142"/>
  <c r="C24" i="127"/>
  <c r="N46" i="137"/>
  <c r="N46" i="149"/>
  <c r="N46" i="145"/>
  <c r="N46" i="138"/>
  <c r="N46" i="150"/>
  <c r="N46" i="146"/>
  <c r="N46" i="139"/>
  <c r="N46" i="151"/>
  <c r="N46" i="147"/>
  <c r="N46" i="143"/>
  <c r="N46" i="128"/>
  <c r="N46" i="144"/>
  <c r="N46" i="140"/>
  <c r="N46" i="136"/>
  <c r="N46" i="148"/>
  <c r="N46" i="135"/>
  <c r="N46" i="134"/>
  <c r="N46" i="142"/>
  <c r="N46" i="127"/>
  <c r="H13" i="139"/>
  <c r="H13" i="151"/>
  <c r="H13" i="147"/>
  <c r="H13" i="140"/>
  <c r="H13" i="136"/>
  <c r="H13" i="148"/>
  <c r="H13" i="137"/>
  <c r="H13" i="149"/>
  <c r="H13" i="145"/>
  <c r="H13" i="138"/>
  <c r="H13" i="146"/>
  <c r="H13" i="135"/>
  <c r="H13" i="150"/>
  <c r="H13" i="128"/>
  <c r="H13" i="142"/>
  <c r="H13" i="127"/>
  <c r="H13" i="144"/>
  <c r="H13" i="134"/>
  <c r="H13" i="143"/>
  <c r="N9" i="86"/>
  <c r="C9" i="139"/>
  <c r="C9" i="151"/>
  <c r="C9" i="140"/>
  <c r="C9" i="136"/>
  <c r="C9" i="148"/>
  <c r="C9" i="137"/>
  <c r="C9" i="149"/>
  <c r="C9" i="138"/>
  <c r="C9" i="150"/>
  <c r="C9" i="142"/>
  <c r="C9" i="127"/>
  <c r="C9" i="145"/>
  <c r="C9" i="147"/>
  <c r="C9" i="146"/>
  <c r="C9" i="144"/>
  <c r="C9" i="135"/>
  <c r="C9" i="134"/>
  <c r="C9" i="143"/>
  <c r="C9" i="128"/>
  <c r="N30" i="86"/>
  <c r="N19" i="86"/>
  <c r="N23" i="86"/>
  <c r="N17" i="86"/>
  <c r="N15" i="86"/>
  <c r="N24" i="86"/>
  <c r="N14" i="86"/>
  <c r="C38" i="86"/>
  <c r="N20" i="86"/>
  <c r="N32" i="86"/>
  <c r="N18" i="86"/>
  <c r="N22" i="86"/>
  <c r="N16" i="86"/>
  <c r="N26" i="86"/>
  <c r="N28" i="86"/>
  <c r="N21" i="86"/>
  <c r="N33" i="86"/>
  <c r="J59" i="86"/>
  <c r="I6" i="67"/>
  <c r="I59" i="86"/>
  <c r="H6" i="67"/>
  <c r="I26" i="67"/>
  <c r="I27" i="67"/>
  <c r="H26" i="67"/>
  <c r="H27" i="67"/>
  <c r="D62" i="20"/>
  <c r="F62" i="20"/>
  <c r="D63" i="20"/>
  <c r="F63" i="20"/>
  <c r="D64" i="20"/>
  <c r="F64" i="20"/>
  <c r="D45" i="20"/>
  <c r="F45" i="20"/>
  <c r="D46" i="20"/>
  <c r="F46" i="20"/>
  <c r="D47" i="20"/>
  <c r="F47" i="20"/>
  <c r="D48" i="20"/>
  <c r="F48" i="20"/>
  <c r="D49" i="20"/>
  <c r="F49" i="20"/>
  <c r="D50" i="20"/>
  <c r="F50" i="20"/>
  <c r="D51" i="20"/>
  <c r="F51" i="20"/>
  <c r="D52" i="20"/>
  <c r="F52" i="20"/>
  <c r="D53" i="20"/>
  <c r="F53" i="20"/>
  <c r="D54" i="20"/>
  <c r="F54" i="20"/>
  <c r="D55" i="20"/>
  <c r="F55" i="20"/>
  <c r="D56" i="20"/>
  <c r="F56" i="20"/>
  <c r="D57" i="20"/>
  <c r="F57" i="20"/>
  <c r="D58" i="20"/>
  <c r="F58" i="20"/>
  <c r="D59" i="20"/>
  <c r="F59" i="20"/>
  <c r="D60" i="20"/>
  <c r="F60" i="20"/>
  <c r="D61" i="20"/>
  <c r="F61" i="20"/>
  <c r="E49" i="20"/>
  <c r="E45" i="20"/>
  <c r="E55" i="20"/>
  <c r="E51" i="20"/>
  <c r="E64" i="20"/>
  <c r="E54" i="20"/>
  <c r="E52" i="20"/>
  <c r="AH86" i="16"/>
  <c r="S60" i="16"/>
  <c r="E47" i="20"/>
  <c r="E63" i="20"/>
  <c r="E61" i="20"/>
  <c r="E58" i="20"/>
  <c r="E57" i="20"/>
  <c r="AI100" i="16"/>
  <c r="I86" i="16"/>
  <c r="K96" i="16"/>
  <c r="U96" i="16"/>
  <c r="AI90" i="16"/>
  <c r="M98" i="16"/>
  <c r="O83" i="16"/>
  <c r="S87" i="16"/>
  <c r="S91" i="16"/>
  <c r="W98" i="16"/>
  <c r="Y97" i="16"/>
  <c r="AC87" i="16"/>
  <c r="E48" i="16"/>
  <c r="I94" i="16"/>
  <c r="I97" i="16"/>
  <c r="K100" i="16"/>
  <c r="Q87" i="16"/>
  <c r="Q94" i="16"/>
  <c r="Q97" i="16"/>
  <c r="S83" i="16"/>
  <c r="S101" i="16"/>
  <c r="U100" i="16"/>
  <c r="W87" i="16"/>
  <c r="Y94" i="16"/>
  <c r="AA96" i="16"/>
  <c r="AI96" i="16"/>
  <c r="AO96" i="16"/>
  <c r="AM91" i="16"/>
  <c r="W35" i="16"/>
  <c r="AQ88" i="16"/>
  <c r="AQ91" i="16"/>
  <c r="AK98" i="16"/>
  <c r="AM83" i="16"/>
  <c r="AM97" i="16"/>
  <c r="AO100" i="16"/>
  <c r="W31" i="16"/>
  <c r="W34" i="16"/>
  <c r="W42" i="16"/>
  <c r="AQ95" i="16"/>
  <c r="AQ96" i="16"/>
  <c r="W46" i="16"/>
  <c r="W49" i="16"/>
  <c r="W50" i="16"/>
  <c r="E53" i="20"/>
  <c r="E46" i="20"/>
  <c r="E59" i="20"/>
  <c r="E48" i="20"/>
  <c r="E62" i="20"/>
  <c r="K90" i="16"/>
  <c r="E60" i="20"/>
  <c r="E50" i="20"/>
  <c r="E56" i="20"/>
  <c r="AQ86" i="16"/>
  <c r="W36" i="16"/>
  <c r="AQ97" i="16"/>
  <c r="AQ89" i="16"/>
  <c r="W37" i="16"/>
  <c r="W38" i="16"/>
  <c r="AQ92" i="16"/>
  <c r="W43" i="16"/>
  <c r="W44" i="16"/>
  <c r="AQ98" i="16"/>
  <c r="AQ99" i="16"/>
  <c r="W47" i="16"/>
  <c r="W48" i="16"/>
  <c r="W33" i="16"/>
  <c r="AQ90" i="16"/>
  <c r="AQ93" i="16"/>
  <c r="AQ102" i="16"/>
  <c r="W51" i="16"/>
  <c r="AO86" i="16"/>
  <c r="AO94" i="16"/>
  <c r="AO97" i="16"/>
  <c r="AO103" i="16"/>
  <c r="AO87" i="16"/>
  <c r="AO88" i="16"/>
  <c r="AO89" i="16"/>
  <c r="AO92" i="16"/>
  <c r="AO95" i="16"/>
  <c r="AO98" i="16"/>
  <c r="AO99" i="16"/>
  <c r="AO102" i="16"/>
  <c r="AO84" i="16"/>
  <c r="AO85" i="16"/>
  <c r="AO101" i="16"/>
  <c r="AM84" i="16"/>
  <c r="AM86" i="16"/>
  <c r="AM94" i="16"/>
  <c r="AM85" i="16"/>
  <c r="AM88" i="16"/>
  <c r="AM93" i="16"/>
  <c r="AM95" i="16"/>
  <c r="AM98" i="16"/>
  <c r="AM99" i="16"/>
  <c r="AM92" i="16"/>
  <c r="AM89" i="16"/>
  <c r="AM90" i="16"/>
  <c r="AM96" i="16"/>
  <c r="AM100" i="16"/>
  <c r="AK84" i="16"/>
  <c r="AK90" i="16"/>
  <c r="AK92" i="16"/>
  <c r="AK96" i="16"/>
  <c r="AK100" i="16"/>
  <c r="AK103" i="16"/>
  <c r="AK83" i="16"/>
  <c r="AK85" i="16"/>
  <c r="AK91" i="16"/>
  <c r="AK93" i="16"/>
  <c r="AK86" i="16"/>
  <c r="AK89" i="16"/>
  <c r="AK94" i="16"/>
  <c r="AK97" i="16"/>
  <c r="AK99" i="16"/>
  <c r="AK102" i="16"/>
  <c r="AK101" i="16"/>
  <c r="AI84" i="16"/>
  <c r="AI92" i="16"/>
  <c r="AI85" i="16"/>
  <c r="AI93" i="16"/>
  <c r="AI103" i="16"/>
  <c r="AI86" i="16"/>
  <c r="AI89" i="16"/>
  <c r="AI94" i="16"/>
  <c r="AI97" i="16"/>
  <c r="AI83" i="16"/>
  <c r="AI87" i="16"/>
  <c r="AI95" i="16"/>
  <c r="AI98" i="16"/>
  <c r="AI99" i="16"/>
  <c r="AG98" i="16"/>
  <c r="AG91" i="16"/>
  <c r="AG102" i="16"/>
  <c r="AG87" i="16"/>
  <c r="AG83" i="16"/>
  <c r="AG90" i="16"/>
  <c r="AG84" i="16"/>
  <c r="AG92" i="16"/>
  <c r="AG93" i="16"/>
  <c r="AG94" i="16"/>
  <c r="AG103" i="16"/>
  <c r="AG86" i="16"/>
  <c r="AG95" i="16"/>
  <c r="AG96" i="16"/>
  <c r="AG97" i="16"/>
  <c r="AG100" i="16"/>
  <c r="AG101" i="16"/>
  <c r="AE84" i="16"/>
  <c r="AE87" i="16"/>
  <c r="AE92" i="16"/>
  <c r="AE98" i="16"/>
  <c r="AE103" i="16"/>
  <c r="AE83" i="16"/>
  <c r="AE88" i="16"/>
  <c r="AE91" i="16"/>
  <c r="AE100" i="16"/>
  <c r="AE102" i="16"/>
  <c r="AE86" i="16"/>
  <c r="AE94" i="16"/>
  <c r="AE96" i="16"/>
  <c r="AE97" i="16"/>
  <c r="AE85" i="16"/>
  <c r="AE90" i="16"/>
  <c r="AE99" i="16"/>
  <c r="AE101" i="16"/>
  <c r="AC90" i="16"/>
  <c r="AC96" i="16"/>
  <c r="AC100" i="16"/>
  <c r="AC83" i="16"/>
  <c r="AC84" i="16"/>
  <c r="AC85" i="16"/>
  <c r="AC88" i="16"/>
  <c r="AC91" i="16"/>
  <c r="AC92" i="16"/>
  <c r="AC93" i="16"/>
  <c r="AC86" i="16"/>
  <c r="AC89" i="16"/>
  <c r="AC94" i="16"/>
  <c r="AC95" i="16"/>
  <c r="AC97" i="16"/>
  <c r="AC99" i="16"/>
  <c r="AC102" i="16"/>
  <c r="AC103" i="16"/>
  <c r="AC101" i="16"/>
  <c r="AA86" i="16"/>
  <c r="AA88" i="16"/>
  <c r="AA94" i="16"/>
  <c r="AA97" i="16"/>
  <c r="AA103" i="16"/>
  <c r="AA87" i="16"/>
  <c r="AA89" i="16"/>
  <c r="AA95" i="16"/>
  <c r="AA98" i="16"/>
  <c r="AA99" i="16"/>
  <c r="AA85" i="16"/>
  <c r="AA93" i="16"/>
  <c r="AA102" i="16"/>
  <c r="AA101" i="16"/>
  <c r="Y84" i="16"/>
  <c r="Y90" i="16"/>
  <c r="Y92" i="16"/>
  <c r="Y96" i="16"/>
  <c r="Y100" i="16"/>
  <c r="Y103" i="16"/>
  <c r="Y83" i="16"/>
  <c r="Y85" i="16"/>
  <c r="Y91" i="16"/>
  <c r="Y93" i="16"/>
  <c r="Y86" i="16"/>
  <c r="Y89" i="16"/>
  <c r="Y95" i="16"/>
  <c r="Y99" i="16"/>
  <c r="Y102" i="16"/>
  <c r="Y101" i="16"/>
  <c r="W84" i="16"/>
  <c r="W90" i="16"/>
  <c r="W92" i="16"/>
  <c r="W96" i="16"/>
  <c r="W100" i="16"/>
  <c r="W103" i="16"/>
  <c r="W95" i="16"/>
  <c r="W83" i="16"/>
  <c r="W85" i="16"/>
  <c r="W91" i="16"/>
  <c r="W93" i="16"/>
  <c r="W86" i="16"/>
  <c r="W89" i="16"/>
  <c r="W94" i="16"/>
  <c r="W97" i="16"/>
  <c r="W99" i="16"/>
  <c r="W102" i="16"/>
  <c r="W101" i="16"/>
  <c r="U85" i="16"/>
  <c r="U93" i="16"/>
  <c r="U92" i="16"/>
  <c r="U86" i="16"/>
  <c r="U94" i="16"/>
  <c r="U95" i="16"/>
  <c r="U97" i="16"/>
  <c r="U99" i="16"/>
  <c r="U84" i="16"/>
  <c r="U87" i="16"/>
  <c r="U98" i="16"/>
  <c r="U102" i="16"/>
  <c r="U103" i="16"/>
  <c r="U101" i="16"/>
  <c r="S84" i="16"/>
  <c r="S86" i="16"/>
  <c r="S92" i="16"/>
  <c r="S88" i="16"/>
  <c r="S97" i="16"/>
  <c r="S85" i="16"/>
  <c r="S93" i="16"/>
  <c r="S95" i="16"/>
  <c r="S98" i="16"/>
  <c r="S99" i="16"/>
  <c r="S90" i="16"/>
  <c r="S96" i="16"/>
  <c r="S100" i="16"/>
  <c r="Q84" i="16"/>
  <c r="Q95" i="16"/>
  <c r="Q99" i="16"/>
  <c r="Q102" i="16"/>
  <c r="Q83" i="16"/>
  <c r="Q85" i="16"/>
  <c r="Q90" i="16"/>
  <c r="Q92" i="16"/>
  <c r="Q96" i="16"/>
  <c r="Q100" i="16"/>
  <c r="Q86" i="16"/>
  <c r="Q91" i="16"/>
  <c r="Q93" i="16"/>
  <c r="Q103" i="16"/>
  <c r="Q101" i="16"/>
  <c r="O86" i="16"/>
  <c r="O88" i="16"/>
  <c r="O94" i="16"/>
  <c r="O97" i="16"/>
  <c r="O103" i="16"/>
  <c r="O87" i="16"/>
  <c r="O89" i="16"/>
  <c r="O95" i="16"/>
  <c r="O98" i="16"/>
  <c r="O99" i="16"/>
  <c r="O102" i="16"/>
  <c r="O85" i="16"/>
  <c r="O90" i="16"/>
  <c r="O93" i="16"/>
  <c r="O96" i="16"/>
  <c r="O100" i="16"/>
  <c r="O101" i="16"/>
  <c r="M90" i="16"/>
  <c r="M96" i="16"/>
  <c r="M100" i="16"/>
  <c r="M103" i="16"/>
  <c r="M83" i="16"/>
  <c r="M85" i="16"/>
  <c r="M91" i="16"/>
  <c r="M86" i="16"/>
  <c r="M89" i="16"/>
  <c r="M94" i="16"/>
  <c r="M97" i="16"/>
  <c r="M102" i="16"/>
  <c r="M101" i="16"/>
  <c r="K84" i="16"/>
  <c r="K92" i="16"/>
  <c r="K85" i="16"/>
  <c r="K93" i="16"/>
  <c r="K103" i="16"/>
  <c r="K86" i="16"/>
  <c r="K89" i="16"/>
  <c r="K94" i="16"/>
  <c r="K95" i="16"/>
  <c r="K97" i="16"/>
  <c r="K87" i="16"/>
  <c r="K98" i="16"/>
  <c r="K102" i="16"/>
  <c r="K101" i="16"/>
  <c r="I89" i="16"/>
  <c r="I95" i="16"/>
  <c r="I99" i="16"/>
  <c r="I85" i="16"/>
  <c r="I90" i="16"/>
  <c r="I93" i="16"/>
  <c r="I96" i="16"/>
  <c r="I100" i="16"/>
  <c r="I102" i="16"/>
  <c r="I83" i="16"/>
  <c r="I84" i="16"/>
  <c r="I87" i="16"/>
  <c r="I91" i="16"/>
  <c r="I92" i="16"/>
  <c r="I101" i="16"/>
  <c r="E35" i="16"/>
  <c r="E46" i="16"/>
  <c r="E38" i="16"/>
  <c r="G91" i="16"/>
  <c r="E44" i="16"/>
  <c r="E49" i="16"/>
  <c r="G99" i="16"/>
  <c r="E47" i="16"/>
  <c r="E31" i="16"/>
  <c r="E36" i="16"/>
  <c r="E50" i="16"/>
  <c r="G103" i="16"/>
  <c r="G102" i="16"/>
  <c r="E39" i="16"/>
  <c r="E37" i="16"/>
  <c r="E40" i="16"/>
  <c r="G93" i="16"/>
  <c r="G100" i="16"/>
  <c r="G95" i="16"/>
  <c r="F89" i="16"/>
  <c r="F91" i="16"/>
  <c r="E65" i="16"/>
  <c r="F99" i="16"/>
  <c r="E73" i="16"/>
  <c r="J101" i="16"/>
  <c r="G75" i="16"/>
  <c r="L103" i="16"/>
  <c r="H77" i="16"/>
  <c r="N90" i="16"/>
  <c r="I64" i="16"/>
  <c r="P84" i="16"/>
  <c r="J58" i="16"/>
  <c r="R88" i="16"/>
  <c r="K62" i="16"/>
  <c r="R90" i="16"/>
  <c r="K64" i="16"/>
  <c r="T90" i="16"/>
  <c r="L64" i="16"/>
  <c r="V94" i="16"/>
  <c r="M68" i="16"/>
  <c r="X97" i="16"/>
  <c r="N71" i="16"/>
  <c r="X92" i="16"/>
  <c r="N66" i="16"/>
  <c r="Z99" i="16"/>
  <c r="O73" i="16"/>
  <c r="Z91" i="16"/>
  <c r="O65" i="16"/>
  <c r="AB86" i="16"/>
  <c r="P60" i="16"/>
  <c r="AF98" i="16"/>
  <c r="R72" i="16"/>
  <c r="AH92" i="16"/>
  <c r="S66" i="16"/>
  <c r="AJ95" i="16"/>
  <c r="T69" i="16"/>
  <c r="AN93" i="16"/>
  <c r="V67" i="16"/>
  <c r="AN88" i="16"/>
  <c r="V62" i="16"/>
  <c r="AN87" i="16"/>
  <c r="V61" i="16"/>
  <c r="AN97" i="16"/>
  <c r="V71" i="16"/>
  <c r="V96" i="16"/>
  <c r="M70" i="16"/>
  <c r="T97" i="16"/>
  <c r="L71" i="16"/>
  <c r="P91" i="16"/>
  <c r="J65" i="16"/>
  <c r="N98" i="16"/>
  <c r="I72" i="16"/>
  <c r="L96" i="16"/>
  <c r="H70" i="16"/>
  <c r="H83" i="16"/>
  <c r="F57" i="16"/>
  <c r="N87" i="16"/>
  <c r="I61" i="16"/>
  <c r="AD97" i="16"/>
  <c r="Q71" i="16"/>
  <c r="X96" i="16"/>
  <c r="N70" i="16"/>
  <c r="F96" i="16"/>
  <c r="F87" i="16"/>
  <c r="H95" i="16"/>
  <c r="F69" i="16"/>
  <c r="J96" i="16"/>
  <c r="G70" i="16"/>
  <c r="J92" i="16"/>
  <c r="G66" i="16"/>
  <c r="L101" i="16"/>
  <c r="H75" i="16"/>
  <c r="L94" i="16"/>
  <c r="H68" i="16"/>
  <c r="N85" i="16"/>
  <c r="I59" i="16"/>
  <c r="N96" i="16"/>
  <c r="I70" i="16"/>
  <c r="N89" i="16"/>
  <c r="I63" i="16"/>
  <c r="R85" i="16"/>
  <c r="K59" i="16"/>
  <c r="T100" i="16"/>
  <c r="L74" i="16"/>
  <c r="V95" i="16"/>
  <c r="M69" i="16"/>
  <c r="V93" i="16"/>
  <c r="M67" i="16"/>
  <c r="V103" i="16"/>
  <c r="M77" i="16"/>
  <c r="V84" i="16"/>
  <c r="M58" i="16"/>
  <c r="X86" i="16"/>
  <c r="N60" i="16"/>
  <c r="Z90" i="16"/>
  <c r="O64" i="16"/>
  <c r="Z88" i="16"/>
  <c r="O62" i="16"/>
  <c r="AB94" i="16"/>
  <c r="P68" i="16"/>
  <c r="AB85" i="16"/>
  <c r="P59" i="16"/>
  <c r="AD96" i="16"/>
  <c r="Q70" i="16"/>
  <c r="AD92" i="16"/>
  <c r="Q66" i="16"/>
  <c r="AF90" i="16"/>
  <c r="R64" i="16"/>
  <c r="AH100" i="16"/>
  <c r="S74" i="16"/>
  <c r="AH91" i="16"/>
  <c r="S65" i="16"/>
  <c r="AH99" i="16"/>
  <c r="S73" i="16"/>
  <c r="AJ92" i="16"/>
  <c r="T66" i="16"/>
  <c r="AL84" i="16"/>
  <c r="U58" i="16"/>
  <c r="AP90" i="16"/>
  <c r="W64" i="16"/>
  <c r="AP98" i="16"/>
  <c r="W72" i="16"/>
  <c r="AF94" i="16"/>
  <c r="R68" i="16"/>
  <c r="AB98" i="16"/>
  <c r="P72" i="16"/>
  <c r="X100" i="16"/>
  <c r="N74" i="16"/>
  <c r="P102" i="16"/>
  <c r="J76" i="16"/>
  <c r="J86" i="16"/>
  <c r="G60" i="16"/>
  <c r="AH98" i="16"/>
  <c r="S72" i="16"/>
  <c r="T98" i="16"/>
  <c r="L72" i="16"/>
  <c r="H91" i="16"/>
  <c r="F65" i="16"/>
  <c r="AD94" i="16"/>
  <c r="Q68" i="16"/>
  <c r="H88" i="16"/>
  <c r="F62" i="16"/>
  <c r="N100" i="16"/>
  <c r="I74" i="16"/>
  <c r="N95" i="16"/>
  <c r="I69" i="16"/>
  <c r="R96" i="16"/>
  <c r="K70" i="16"/>
  <c r="R83" i="16"/>
  <c r="K57" i="16"/>
  <c r="T83" i="16"/>
  <c r="L57" i="16"/>
  <c r="X85" i="16"/>
  <c r="N59" i="16"/>
  <c r="Z102" i="16"/>
  <c r="O76" i="16"/>
  <c r="Z89" i="16"/>
  <c r="O63" i="16"/>
  <c r="AB97" i="16"/>
  <c r="P71" i="16"/>
  <c r="AB93" i="16"/>
  <c r="P67" i="16"/>
  <c r="AD102" i="16"/>
  <c r="Q76" i="16"/>
  <c r="AD91" i="16"/>
  <c r="Q65" i="16"/>
  <c r="AF99" i="16"/>
  <c r="R73" i="16"/>
  <c r="AF85" i="16"/>
  <c r="R59" i="16"/>
  <c r="AF89" i="16"/>
  <c r="R63" i="16"/>
  <c r="AF86" i="16"/>
  <c r="R60" i="16"/>
  <c r="AF96" i="16"/>
  <c r="R70" i="16"/>
  <c r="AH102" i="16"/>
  <c r="S76" i="16"/>
  <c r="AH90" i="16"/>
  <c r="S64" i="16"/>
  <c r="AH93" i="16"/>
  <c r="S67" i="16"/>
  <c r="AH84" i="16"/>
  <c r="S58" i="16"/>
  <c r="AJ86" i="16"/>
  <c r="T60" i="16"/>
  <c r="AL101" i="16"/>
  <c r="U75" i="16"/>
  <c r="AL100" i="16"/>
  <c r="U74" i="16"/>
  <c r="AL93" i="16"/>
  <c r="U67" i="16"/>
  <c r="AL91" i="16"/>
  <c r="U65" i="16"/>
  <c r="AN83" i="16"/>
  <c r="V57" i="16"/>
  <c r="AP89" i="16"/>
  <c r="W63" i="16"/>
  <c r="J87" i="16"/>
  <c r="G61" i="16"/>
  <c r="AP86" i="16"/>
  <c r="W60" i="16"/>
  <c r="AN94" i="16"/>
  <c r="V68" i="16"/>
  <c r="V91" i="16"/>
  <c r="M65" i="16"/>
  <c r="T87" i="16"/>
  <c r="L61" i="16"/>
  <c r="P83" i="16"/>
  <c r="J57" i="16"/>
  <c r="L87" i="16"/>
  <c r="H61" i="16"/>
  <c r="T94" i="16"/>
  <c r="L68" i="16"/>
  <c r="AJ100" i="16"/>
  <c r="T74" i="16"/>
  <c r="F101" i="16"/>
  <c r="F98" i="16"/>
  <c r="H102" i="16"/>
  <c r="F76" i="16"/>
  <c r="H89" i="16"/>
  <c r="F63" i="16"/>
  <c r="J91" i="16"/>
  <c r="G65" i="16"/>
  <c r="J99" i="16"/>
  <c r="G73" i="16"/>
  <c r="J103" i="16"/>
  <c r="G77" i="16"/>
  <c r="J84" i="16"/>
  <c r="G58" i="16"/>
  <c r="L99" i="16"/>
  <c r="H73" i="16"/>
  <c r="L86" i="16"/>
  <c r="H60" i="16"/>
  <c r="N99" i="16"/>
  <c r="I73" i="16"/>
  <c r="N88" i="16"/>
  <c r="I62" i="16"/>
  <c r="P103" i="16"/>
  <c r="J77" i="16"/>
  <c r="P94" i="16"/>
  <c r="J68" i="16"/>
  <c r="R89" i="16"/>
  <c r="K63" i="16"/>
  <c r="R95" i="16"/>
  <c r="K69" i="16"/>
  <c r="R84" i="16"/>
  <c r="K58" i="16"/>
  <c r="T84" i="16"/>
  <c r="L58" i="16"/>
  <c r="Z101" i="16"/>
  <c r="O75" i="16"/>
  <c r="AD101" i="16"/>
  <c r="Q75" i="16"/>
  <c r="AD90" i="16"/>
  <c r="Q64" i="16"/>
  <c r="AF101" i="16"/>
  <c r="R75" i="16"/>
  <c r="AF83" i="16"/>
  <c r="R57" i="16"/>
  <c r="AH101" i="16"/>
  <c r="S75" i="16"/>
  <c r="AJ85" i="16"/>
  <c r="T59" i="16"/>
  <c r="AL99" i="16"/>
  <c r="U73" i="16"/>
  <c r="AL90" i="16"/>
  <c r="U64" i="16"/>
  <c r="AN84" i="16"/>
  <c r="V58" i="16"/>
  <c r="AN91" i="16"/>
  <c r="V65" i="16"/>
  <c r="AN103" i="16"/>
  <c r="V77" i="16"/>
  <c r="AP96" i="16"/>
  <c r="W70" i="16"/>
  <c r="N101" i="16"/>
  <c r="I75" i="16"/>
  <c r="N86" i="16"/>
  <c r="I60" i="16"/>
  <c r="L83" i="16"/>
  <c r="H57" i="16"/>
  <c r="H100" i="16"/>
  <c r="F74" i="16"/>
  <c r="AB91" i="16"/>
  <c r="P65" i="16"/>
  <c r="X91" i="16"/>
  <c r="N65" i="16"/>
  <c r="R97" i="16"/>
  <c r="K71" i="16"/>
  <c r="H86" i="16"/>
  <c r="F60" i="16"/>
  <c r="J90" i="16"/>
  <c r="G64" i="16"/>
  <c r="J85" i="16"/>
  <c r="G59" i="16"/>
  <c r="L85" i="16"/>
  <c r="H59" i="16"/>
  <c r="N103" i="16"/>
  <c r="I77" i="16"/>
  <c r="P93" i="16"/>
  <c r="J67" i="16"/>
  <c r="P92" i="16"/>
  <c r="J66" i="16"/>
  <c r="P99" i="16"/>
  <c r="J73" i="16"/>
  <c r="R92" i="16"/>
  <c r="K66" i="16"/>
  <c r="R94" i="16"/>
  <c r="K68" i="16"/>
  <c r="T96" i="16"/>
  <c r="L70" i="16"/>
  <c r="V97" i="16"/>
  <c r="M71" i="16"/>
  <c r="V86" i="16"/>
  <c r="M60" i="16"/>
  <c r="X84" i="16"/>
  <c r="N58" i="16"/>
  <c r="Z96" i="16"/>
  <c r="O70" i="16"/>
  <c r="AB84" i="16"/>
  <c r="P58" i="16"/>
  <c r="AD83" i="16"/>
  <c r="Q57" i="16"/>
  <c r="AD84" i="16"/>
  <c r="Q58" i="16"/>
  <c r="AF87" i="16"/>
  <c r="R61" i="16"/>
  <c r="AF91" i="16"/>
  <c r="R65" i="16"/>
  <c r="AH85" i="16"/>
  <c r="S59" i="16"/>
  <c r="AJ102" i="16"/>
  <c r="T76" i="16"/>
  <c r="AJ97" i="16"/>
  <c r="T71" i="16"/>
  <c r="AL88" i="16"/>
  <c r="U62" i="16"/>
  <c r="AN96" i="16"/>
  <c r="V70" i="16"/>
  <c r="AN90" i="16"/>
  <c r="V64" i="16"/>
  <c r="AP103" i="16"/>
  <c r="AP85" i="16"/>
  <c r="AP100" i="16"/>
  <c r="AP95" i="16"/>
  <c r="W69" i="16"/>
  <c r="J93" i="16"/>
  <c r="G67" i="16"/>
  <c r="AP102" i="16"/>
  <c r="W76" i="16"/>
  <c r="AP83" i="16"/>
  <c r="AL98" i="16"/>
  <c r="U72" i="16"/>
  <c r="AJ87" i="16"/>
  <c r="T61" i="16"/>
  <c r="AH97" i="16"/>
  <c r="S71" i="16"/>
  <c r="AD98" i="16"/>
  <c r="Q72" i="16"/>
  <c r="Z98" i="16"/>
  <c r="O72" i="16"/>
  <c r="X90" i="16"/>
  <c r="N64" i="16"/>
  <c r="V83" i="16"/>
  <c r="M57" i="16"/>
  <c r="L102" i="16"/>
  <c r="H76" i="16"/>
  <c r="X87" i="16"/>
  <c r="N61" i="16"/>
  <c r="P101" i="16"/>
  <c r="J75" i="16"/>
  <c r="AD86" i="16"/>
  <c r="Q60" i="16"/>
  <c r="F102" i="16"/>
  <c r="E76" i="16"/>
  <c r="H98" i="16"/>
  <c r="F72" i="16"/>
  <c r="H85" i="16"/>
  <c r="F59" i="16"/>
  <c r="L95" i="16"/>
  <c r="H69" i="16"/>
  <c r="L97" i="16"/>
  <c r="H71" i="16"/>
  <c r="P98" i="16"/>
  <c r="J72" i="16"/>
  <c r="R102" i="16"/>
  <c r="K76" i="16"/>
  <c r="T95" i="16"/>
  <c r="L69" i="16"/>
  <c r="T102" i="16"/>
  <c r="L76" i="16"/>
  <c r="T89" i="16"/>
  <c r="L63" i="16"/>
  <c r="T93" i="16"/>
  <c r="L67" i="16"/>
  <c r="V102" i="16"/>
  <c r="M76" i="16"/>
  <c r="V85" i="16"/>
  <c r="M59" i="16"/>
  <c r="V92" i="16"/>
  <c r="M66" i="16"/>
  <c r="X94" i="16"/>
  <c r="N68" i="16"/>
  <c r="Z95" i="16"/>
  <c r="O69" i="16"/>
  <c r="AB92" i="16"/>
  <c r="P66" i="16"/>
  <c r="AD103" i="16"/>
  <c r="Q77" i="16"/>
  <c r="AH96" i="16"/>
  <c r="S70" i="16"/>
  <c r="AJ101" i="16"/>
  <c r="T75" i="16"/>
  <c r="AJ84" i="16"/>
  <c r="T58" i="16"/>
  <c r="AN95" i="16"/>
  <c r="V69" i="16"/>
  <c r="AN89" i="16"/>
  <c r="V63" i="16"/>
  <c r="AN102" i="16"/>
  <c r="V76" i="16"/>
  <c r="AP99" i="16"/>
  <c r="W73" i="16"/>
  <c r="J94" i="16"/>
  <c r="G68" i="16"/>
  <c r="AP101" i="16"/>
  <c r="AP87" i="16"/>
  <c r="AJ83" i="16"/>
  <c r="T57" i="16"/>
  <c r="H96" i="16"/>
  <c r="F70" i="16"/>
  <c r="AB83" i="16"/>
  <c r="P57" i="16"/>
  <c r="X83" i="16"/>
  <c r="N57" i="16"/>
  <c r="AB100" i="16"/>
  <c r="P74" i="16"/>
  <c r="V90" i="16"/>
  <c r="M64" i="16"/>
  <c r="F88" i="16"/>
  <c r="F90" i="16"/>
  <c r="H97" i="16"/>
  <c r="F71" i="16"/>
  <c r="H94" i="16"/>
  <c r="F68" i="16"/>
  <c r="H84" i="16"/>
  <c r="F58" i="16"/>
  <c r="J100" i="16"/>
  <c r="G74" i="16"/>
  <c r="J83" i="16"/>
  <c r="G57" i="16"/>
  <c r="N102" i="16"/>
  <c r="I76" i="16"/>
  <c r="P97" i="16"/>
  <c r="J71" i="16"/>
  <c r="P86" i="16"/>
  <c r="J60" i="16"/>
  <c r="P95" i="16"/>
  <c r="J69" i="16"/>
  <c r="R101" i="16"/>
  <c r="K75" i="16"/>
  <c r="R100" i="16"/>
  <c r="K74" i="16"/>
  <c r="R93" i="16"/>
  <c r="K67" i="16"/>
  <c r="T101" i="16"/>
  <c r="L75" i="16"/>
  <c r="V101" i="16"/>
  <c r="M75" i="16"/>
  <c r="X102" i="16"/>
  <c r="N76" i="16"/>
  <c r="X93" i="16"/>
  <c r="N67" i="16"/>
  <c r="X103" i="16"/>
  <c r="N77" i="16"/>
  <c r="Z103" i="16"/>
  <c r="O77" i="16"/>
  <c r="AB102" i="16"/>
  <c r="P76" i="16"/>
  <c r="AB88" i="16"/>
  <c r="P62" i="16"/>
  <c r="AD95" i="16"/>
  <c r="Q69" i="16"/>
  <c r="AF100" i="16"/>
  <c r="R74" i="16"/>
  <c r="AF102" i="16"/>
  <c r="R76" i="16"/>
  <c r="AH95" i="16"/>
  <c r="S69" i="16"/>
  <c r="AH103" i="16"/>
  <c r="S77" i="16"/>
  <c r="AJ94" i="16"/>
  <c r="T68" i="16"/>
  <c r="AL96" i="16"/>
  <c r="U70" i="16"/>
  <c r="AL85" i="16"/>
  <c r="U59" i="16"/>
  <c r="AN100" i="16"/>
  <c r="V74" i="16"/>
  <c r="AN99" i="16"/>
  <c r="V73" i="16"/>
  <c r="AP88" i="16"/>
  <c r="W62" i="16"/>
  <c r="AP94" i="16"/>
  <c r="AN101" i="16"/>
  <c r="V75" i="16"/>
  <c r="AH94" i="16"/>
  <c r="S68" i="16"/>
  <c r="AD87" i="16"/>
  <c r="Q61" i="16"/>
  <c r="Z94" i="16"/>
  <c r="O68" i="16"/>
  <c r="R98" i="16"/>
  <c r="K72" i="16"/>
  <c r="J98" i="16"/>
  <c r="G72" i="16"/>
  <c r="N97" i="16"/>
  <c r="I71" i="16"/>
  <c r="F92" i="16"/>
  <c r="F83" i="16"/>
  <c r="H92" i="16"/>
  <c r="F66" i="16"/>
  <c r="H99" i="16"/>
  <c r="F73" i="16"/>
  <c r="J102" i="16"/>
  <c r="G76" i="16"/>
  <c r="L93" i="16"/>
  <c r="H67" i="16"/>
  <c r="N92" i="16"/>
  <c r="I66" i="16"/>
  <c r="P89" i="16"/>
  <c r="J63" i="16"/>
  <c r="P85" i="16"/>
  <c r="J59" i="16"/>
  <c r="R99" i="16"/>
  <c r="K73" i="16"/>
  <c r="R91" i="16"/>
  <c r="K65" i="16"/>
  <c r="T91" i="16"/>
  <c r="L65" i="16"/>
  <c r="T92" i="16"/>
  <c r="L66" i="16"/>
  <c r="T85" i="16"/>
  <c r="L59" i="16"/>
  <c r="X101" i="16"/>
  <c r="N75" i="16"/>
  <c r="X98" i="16"/>
  <c r="N72" i="16"/>
  <c r="Z100" i="16"/>
  <c r="O74" i="16"/>
  <c r="AB101" i="16"/>
  <c r="P75" i="16"/>
  <c r="AD89" i="16"/>
  <c r="Q63" i="16"/>
  <c r="AD93" i="16"/>
  <c r="Q67" i="16"/>
  <c r="AD88" i="16"/>
  <c r="Q62" i="16"/>
  <c r="AD100" i="16"/>
  <c r="Q74" i="16"/>
  <c r="AF97" i="16"/>
  <c r="R71" i="16"/>
  <c r="AJ93" i="16"/>
  <c r="T67" i="16"/>
  <c r="AJ103" i="16"/>
  <c r="T77" i="16"/>
  <c r="AL95" i="16"/>
  <c r="U69" i="16"/>
  <c r="AL94" i="16"/>
  <c r="U68" i="16"/>
  <c r="AN98" i="16"/>
  <c r="V72" i="16"/>
  <c r="AH87" i="16"/>
  <c r="S61" i="16"/>
  <c r="Z87" i="16"/>
  <c r="O61" i="16"/>
  <c r="V100" i="16"/>
  <c r="M74" i="16"/>
  <c r="J97" i="16"/>
  <c r="G71" i="16"/>
  <c r="H90" i="16"/>
  <c r="F64" i="16"/>
  <c r="F100" i="16"/>
  <c r="E74" i="16"/>
  <c r="L100" i="16"/>
  <c r="H74" i="16"/>
  <c r="AQ87" i="16"/>
  <c r="M99" i="16"/>
  <c r="U91" i="16"/>
  <c r="AG89" i="16"/>
  <c r="W45" i="16"/>
  <c r="E33" i="16"/>
  <c r="G87" i="16"/>
  <c r="AQ101" i="16"/>
  <c r="M93" i="16"/>
  <c r="AQ94" i="16"/>
  <c r="E45" i="16"/>
  <c r="U89" i="16"/>
  <c r="G101" i="16"/>
  <c r="S94" i="16"/>
  <c r="AQ83" i="16"/>
  <c r="AA90" i="16"/>
  <c r="AK87" i="16"/>
  <c r="Y87" i="16"/>
  <c r="M87" i="16"/>
  <c r="G96" i="16"/>
  <c r="G88" i="16"/>
  <c r="G83" i="16"/>
  <c r="G98" i="16"/>
  <c r="E51" i="16"/>
  <c r="E42" i="16"/>
  <c r="G86" i="16"/>
  <c r="I88" i="16"/>
  <c r="K83" i="16"/>
  <c r="Q98" i="16"/>
  <c r="AI91" i="16"/>
  <c r="AI101" i="16"/>
  <c r="W39" i="16"/>
  <c r="AM101" i="16"/>
  <c r="O91" i="16"/>
  <c r="AC98" i="16"/>
  <c r="M95" i="16"/>
  <c r="Y98" i="16"/>
  <c r="AO90" i="16"/>
  <c r="AA100" i="16"/>
  <c r="G97" i="16"/>
  <c r="G85" i="16"/>
  <c r="AE95" i="16"/>
  <c r="AG85" i="16"/>
  <c r="AI102" i="16"/>
  <c r="AO93" i="16"/>
  <c r="AQ85" i="16"/>
  <c r="AQ100" i="16"/>
  <c r="AM87" i="16"/>
  <c r="AA83" i="16"/>
  <c r="U90" i="16"/>
  <c r="Z49" i="16"/>
  <c r="Z33" i="16"/>
  <c r="Z34" i="16"/>
  <c r="Z44" i="16"/>
  <c r="W41" i="16"/>
  <c r="W40" i="16"/>
  <c r="AQ103" i="16"/>
  <c r="AQ84" i="16"/>
  <c r="W32" i="16"/>
  <c r="AO83" i="16"/>
  <c r="AO91" i="16"/>
  <c r="AM103" i="16"/>
  <c r="AM102" i="16"/>
  <c r="AK88" i="16"/>
  <c r="AK95" i="16"/>
  <c r="AI88" i="16"/>
  <c r="AG99" i="16"/>
  <c r="AG88" i="16"/>
  <c r="AE89" i="16"/>
  <c r="AE93" i="16"/>
  <c r="AA91" i="16"/>
  <c r="AA84" i="16"/>
  <c r="AA92" i="16"/>
  <c r="Y88" i="16"/>
  <c r="W88" i="16"/>
  <c r="U88" i="16"/>
  <c r="U83" i="16"/>
  <c r="S89" i="16"/>
  <c r="S103" i="16"/>
  <c r="S102" i="16"/>
  <c r="Q88" i="16"/>
  <c r="Q89" i="16"/>
  <c r="O92" i="16"/>
  <c r="O84" i="16"/>
  <c r="M92" i="16"/>
  <c r="M88" i="16"/>
  <c r="M84" i="16"/>
  <c r="K99" i="16"/>
  <c r="K88" i="16"/>
  <c r="K91" i="16"/>
  <c r="I98" i="16"/>
  <c r="I103" i="16"/>
  <c r="G84" i="16"/>
  <c r="G94" i="16"/>
  <c r="E41" i="16"/>
  <c r="E34" i="16"/>
  <c r="G90" i="16"/>
  <c r="G89" i="16"/>
  <c r="G92" i="16"/>
  <c r="E32" i="16"/>
  <c r="E43" i="16"/>
  <c r="Z51" i="16"/>
  <c r="Z48" i="16"/>
  <c r="Z40" i="16"/>
  <c r="F59" i="86"/>
  <c r="E6" i="67"/>
  <c r="Z38" i="16"/>
  <c r="Z32" i="16"/>
  <c r="Z47" i="16"/>
  <c r="Z41" i="16"/>
  <c r="Z46" i="16"/>
  <c r="Z43" i="16"/>
  <c r="D59" i="86"/>
  <c r="C6" i="67"/>
  <c r="Z39" i="16"/>
  <c r="Z50" i="16"/>
  <c r="E59" i="86"/>
  <c r="D6" i="67"/>
  <c r="Z35" i="16"/>
  <c r="Z42" i="16"/>
  <c r="Z37" i="16"/>
  <c r="G59" i="86"/>
  <c r="F6" i="67"/>
  <c r="Z45" i="16"/>
  <c r="Z36" i="16"/>
  <c r="D41" i="16"/>
  <c r="D67" i="16"/>
  <c r="Y41" i="16"/>
  <c r="D47" i="16"/>
  <c r="D73" i="16"/>
  <c r="Y47" i="16"/>
  <c r="D44" i="16"/>
  <c r="D70" i="16"/>
  <c r="Y44" i="16"/>
  <c r="Y35" i="16"/>
  <c r="D35" i="16"/>
  <c r="D61" i="16"/>
  <c r="D48" i="16"/>
  <c r="D74" i="16"/>
  <c r="Y48" i="16"/>
  <c r="Y50" i="16"/>
  <c r="D50" i="16"/>
  <c r="D76" i="16"/>
  <c r="Y46" i="16"/>
  <c r="D46" i="16"/>
  <c r="D72" i="16"/>
  <c r="D43" i="16"/>
  <c r="D69" i="16"/>
  <c r="Y43" i="16"/>
  <c r="D33" i="16"/>
  <c r="D59" i="16"/>
  <c r="Y33" i="16"/>
  <c r="Y40" i="16"/>
  <c r="D40" i="16"/>
  <c r="D66" i="16"/>
  <c r="D42" i="16"/>
  <c r="D68" i="16"/>
  <c r="Y42" i="16"/>
  <c r="D34" i="16"/>
  <c r="D60" i="16"/>
  <c r="Y34" i="16"/>
  <c r="D49" i="16"/>
  <c r="D75" i="16"/>
  <c r="Y49" i="16"/>
  <c r="Y39" i="16"/>
  <c r="D39" i="16"/>
  <c r="D65" i="16"/>
  <c r="Y36" i="16"/>
  <c r="D36" i="16"/>
  <c r="D62" i="16"/>
  <c r="Y51" i="16"/>
  <c r="D51" i="16"/>
  <c r="D77" i="16"/>
  <c r="D38" i="16"/>
  <c r="D64" i="16"/>
  <c r="Y38" i="16"/>
  <c r="D45" i="16"/>
  <c r="D71" i="16"/>
  <c r="Y45" i="16"/>
  <c r="D37" i="16"/>
  <c r="D63" i="16"/>
  <c r="Y37" i="16"/>
  <c r="Y32" i="16"/>
  <c r="D32" i="16"/>
  <c r="D58" i="16"/>
  <c r="AP93" i="16"/>
  <c r="W67" i="16"/>
  <c r="P87" i="16"/>
  <c r="J61" i="16"/>
  <c r="T103" i="16"/>
  <c r="L77" i="16"/>
  <c r="AF93" i="16"/>
  <c r="R67" i="16"/>
  <c r="AL83" i="16"/>
  <c r="U57" i="16"/>
  <c r="E57" i="16"/>
  <c r="W77" i="16"/>
  <c r="E75" i="16"/>
  <c r="T88" i="16"/>
  <c r="L62" i="16"/>
  <c r="AD99" i="16"/>
  <c r="Q73" i="16"/>
  <c r="AF84" i="16"/>
  <c r="R58" i="16"/>
  <c r="AF95" i="16"/>
  <c r="R69" i="16"/>
  <c r="AP84" i="16"/>
  <c r="W58" i="16"/>
  <c r="D89" i="16"/>
  <c r="D84" i="16"/>
  <c r="E98" i="16"/>
  <c r="E99" i="16"/>
  <c r="E97" i="16"/>
  <c r="AD45" i="16"/>
  <c r="D93" i="16"/>
  <c r="V89" i="16"/>
  <c r="M63" i="16"/>
  <c r="Z85" i="16"/>
  <c r="O59" i="16"/>
  <c r="AD85" i="16"/>
  <c r="Q59" i="16"/>
  <c r="AF103" i="16"/>
  <c r="R77" i="16"/>
  <c r="E86" i="16"/>
  <c r="E101" i="16"/>
  <c r="L98" i="16"/>
  <c r="H72" i="16"/>
  <c r="AL86" i="16"/>
  <c r="U60" i="16"/>
  <c r="R86" i="16"/>
  <c r="K60" i="16"/>
  <c r="L91" i="16"/>
  <c r="H65" i="16"/>
  <c r="AN92" i="16"/>
  <c r="V66" i="16"/>
  <c r="N94" i="16"/>
  <c r="I68" i="16"/>
  <c r="AJ91" i="16"/>
  <c r="T65" i="16"/>
  <c r="E66" i="16"/>
  <c r="H93" i="16"/>
  <c r="F67" i="16"/>
  <c r="J88" i="16"/>
  <c r="G62" i="16"/>
  <c r="AP91" i="16"/>
  <c r="W65" i="16"/>
  <c r="AJ96" i="16"/>
  <c r="T70" i="16"/>
  <c r="J95" i="16"/>
  <c r="G69" i="16"/>
  <c r="W57" i="16"/>
  <c r="F86" i="16"/>
  <c r="E60" i="16"/>
  <c r="Z92" i="16"/>
  <c r="O66" i="16"/>
  <c r="AH83" i="16"/>
  <c r="S57" i="16"/>
  <c r="E85" i="16"/>
  <c r="P90" i="16"/>
  <c r="J64" i="16"/>
  <c r="P100" i="16"/>
  <c r="J74" i="16"/>
  <c r="E87" i="16"/>
  <c r="E95" i="16"/>
  <c r="AD43" i="16"/>
  <c r="D96" i="16"/>
  <c r="E90" i="16"/>
  <c r="AD38" i="16"/>
  <c r="E92" i="16"/>
  <c r="F95" i="16"/>
  <c r="E69" i="16"/>
  <c r="F93" i="16"/>
  <c r="E67" i="16"/>
  <c r="L89" i="16"/>
  <c r="H63" i="16"/>
  <c r="R103" i="16"/>
  <c r="K77" i="16"/>
  <c r="AL103" i="16"/>
  <c r="U77" i="16"/>
  <c r="AP92" i="16"/>
  <c r="W66" i="16"/>
  <c r="J89" i="16"/>
  <c r="G63" i="16"/>
  <c r="Z83" i="16"/>
  <c r="O57" i="16"/>
  <c r="AL87" i="16"/>
  <c r="U61" i="16"/>
  <c r="AJ89" i="16"/>
  <c r="T63" i="16"/>
  <c r="X89" i="16"/>
  <c r="N63" i="16"/>
  <c r="F94" i="16"/>
  <c r="E68" i="16"/>
  <c r="V87" i="16"/>
  <c r="M61" i="16"/>
  <c r="AB103" i="16"/>
  <c r="P77" i="16"/>
  <c r="P96" i="16"/>
  <c r="J70" i="16"/>
  <c r="T86" i="16"/>
  <c r="L60" i="16"/>
  <c r="T99" i="16"/>
  <c r="L73" i="16"/>
  <c r="AP97" i="16"/>
  <c r="W71" i="16"/>
  <c r="E64" i="16"/>
  <c r="E93" i="16"/>
  <c r="E102" i="16"/>
  <c r="D100" i="16"/>
  <c r="L88" i="16"/>
  <c r="H62" i="16"/>
  <c r="F103" i="16"/>
  <c r="E77" i="16"/>
  <c r="W74" i="16"/>
  <c r="E61" i="16"/>
  <c r="D99" i="16"/>
  <c r="E89" i="16"/>
  <c r="AL89" i="16"/>
  <c r="U63" i="16"/>
  <c r="D85" i="16"/>
  <c r="D102" i="16"/>
  <c r="D98" i="16"/>
  <c r="P88" i="16"/>
  <c r="J62" i="16"/>
  <c r="X99" i="16"/>
  <c r="N73" i="16"/>
  <c r="X95" i="16"/>
  <c r="N69" i="16"/>
  <c r="AB89" i="16"/>
  <c r="P63" i="16"/>
  <c r="AH88" i="16"/>
  <c r="S62" i="16"/>
  <c r="AN85" i="16"/>
  <c r="V59" i="16"/>
  <c r="D95" i="16"/>
  <c r="AB90" i="16"/>
  <c r="P64" i="16"/>
  <c r="R87" i="16"/>
  <c r="K61" i="16"/>
  <c r="AJ98" i="16"/>
  <c r="T72" i="16"/>
  <c r="AL102" i="16"/>
  <c r="U76" i="16"/>
  <c r="F97" i="16"/>
  <c r="E71" i="16"/>
  <c r="Z97" i="16"/>
  <c r="O71" i="16"/>
  <c r="H101" i="16"/>
  <c r="F75" i="16"/>
  <c r="F85" i="16"/>
  <c r="E59" i="16"/>
  <c r="W68" i="16"/>
  <c r="E62" i="16"/>
  <c r="W61" i="16"/>
  <c r="W75" i="16"/>
  <c r="E88" i="16"/>
  <c r="N93" i="16"/>
  <c r="I67" i="16"/>
  <c r="E103" i="16"/>
  <c r="F84" i="16"/>
  <c r="E58" i="16"/>
  <c r="H87" i="16"/>
  <c r="F61" i="16"/>
  <c r="V88" i="16"/>
  <c r="M62" i="16"/>
  <c r="Z84" i="16"/>
  <c r="O58" i="16"/>
  <c r="AF88" i="16"/>
  <c r="R62" i="16"/>
  <c r="AJ99" i="16"/>
  <c r="T73" i="16"/>
  <c r="N91" i="16"/>
  <c r="I65" i="16"/>
  <c r="W59" i="16"/>
  <c r="E72" i="16"/>
  <c r="E70" i="16"/>
  <c r="E63" i="16"/>
  <c r="E94" i="16"/>
  <c r="D87" i="16"/>
  <c r="H103" i="16"/>
  <c r="F77" i="16"/>
  <c r="V99" i="16"/>
  <c r="M73" i="16"/>
  <c r="E91" i="16"/>
  <c r="D92" i="16"/>
  <c r="D94" i="16"/>
  <c r="E100" i="16"/>
  <c r="L84" i="16"/>
  <c r="H58" i="16"/>
  <c r="E96" i="16"/>
  <c r="AD44" i="16"/>
  <c r="AJ90" i="16"/>
  <c r="T64" i="16"/>
  <c r="N83" i="16"/>
  <c r="I57" i="16"/>
  <c r="AL92" i="16"/>
  <c r="U66" i="16"/>
  <c r="V98" i="16"/>
  <c r="M72" i="16"/>
  <c r="Z86" i="16"/>
  <c r="O60" i="16"/>
  <c r="D86" i="16"/>
  <c r="AB95" i="16"/>
  <c r="P69" i="16"/>
  <c r="D101" i="16"/>
  <c r="D91" i="16"/>
  <c r="D88" i="16"/>
  <c r="E84" i="16"/>
  <c r="D103" i="16"/>
  <c r="D90" i="16"/>
  <c r="L92" i="16"/>
  <c r="H66" i="16"/>
  <c r="N84" i="16"/>
  <c r="I58" i="16"/>
  <c r="X88" i="16"/>
  <c r="N62" i="16"/>
  <c r="AB99" i="16"/>
  <c r="P73" i="16"/>
  <c r="AF92" i="16"/>
  <c r="R66" i="16"/>
  <c r="AJ88" i="16"/>
  <c r="T62" i="16"/>
  <c r="D97" i="16"/>
  <c r="L90" i="16"/>
  <c r="H64" i="16"/>
  <c r="AB87" i="16"/>
  <c r="P61" i="16"/>
  <c r="AH89" i="16"/>
  <c r="S63" i="16"/>
  <c r="AN86" i="16"/>
  <c r="V60" i="16"/>
  <c r="AL97" i="16"/>
  <c r="U71" i="16"/>
  <c r="AB96" i="16"/>
  <c r="P70" i="16"/>
  <c r="Z93" i="16"/>
  <c r="O67" i="16"/>
  <c r="AD50" i="16"/>
  <c r="AD36" i="16"/>
  <c r="AD39" i="16"/>
  <c r="AD32" i="16"/>
  <c r="AD37" i="16"/>
  <c r="AD46" i="16"/>
  <c r="AD47" i="16"/>
  <c r="AD34" i="16"/>
  <c r="AD49" i="16"/>
  <c r="AD48" i="16"/>
  <c r="AD41" i="16"/>
  <c r="AD42" i="16"/>
  <c r="AD33" i="16"/>
  <c r="AD35" i="16"/>
  <c r="AD51" i="16"/>
  <c r="AD40" i="16"/>
  <c r="Y76" i="16"/>
  <c r="Y65" i="16"/>
  <c r="Y73" i="16"/>
  <c r="Y74" i="16"/>
  <c r="Y60" i="16"/>
  <c r="Y63" i="16"/>
  <c r="Y69" i="16"/>
  <c r="Y71" i="16"/>
  <c r="Y58" i="16"/>
  <c r="Y59" i="16"/>
  <c r="Y77" i="16"/>
  <c r="AS97" i="16"/>
  <c r="AS98" i="16"/>
  <c r="AS96" i="16"/>
  <c r="AS102" i="16"/>
  <c r="AS99" i="16"/>
  <c r="AS85" i="16"/>
  <c r="AS100" i="16"/>
  <c r="AS101" i="16"/>
  <c r="AS88" i="16"/>
  <c r="AS95" i="16"/>
  <c r="AS103" i="16"/>
  <c r="AS93" i="16"/>
  <c r="AS92" i="16"/>
  <c r="AS91" i="16"/>
  <c r="AS86" i="16"/>
  <c r="AS87" i="16"/>
  <c r="AS89" i="16"/>
  <c r="AS90" i="16"/>
  <c r="AS94" i="16"/>
  <c r="AS84" i="16"/>
  <c r="Y67" i="16"/>
  <c r="Y66" i="16"/>
  <c r="Y64" i="16"/>
  <c r="Y75" i="16"/>
  <c r="Y62" i="16"/>
  <c r="Y72" i="16"/>
  <c r="Y68" i="16"/>
  <c r="Y61" i="16"/>
  <c r="Y70" i="16"/>
  <c r="AC50" i="16"/>
  <c r="AA50" i="16"/>
  <c r="AA76" i="16"/>
  <c r="AA39" i="16"/>
  <c r="AA65" i="16"/>
  <c r="AC39" i="16"/>
  <c r="AA37" i="16"/>
  <c r="AA63" i="16"/>
  <c r="AC37" i="16"/>
  <c r="AA32" i="16"/>
  <c r="AA58" i="16"/>
  <c r="AC32" i="16"/>
  <c r="AA38" i="16"/>
  <c r="AA64" i="16"/>
  <c r="AC38" i="16"/>
  <c r="AA42" i="16"/>
  <c r="AA68" i="16"/>
  <c r="AC42" i="16"/>
  <c r="AA51" i="16"/>
  <c r="AA77" i="16"/>
  <c r="AC51" i="16"/>
  <c r="AA41" i="16"/>
  <c r="AA67" i="16"/>
  <c r="AC41" i="16"/>
  <c r="AA34" i="16"/>
  <c r="AA60" i="16"/>
  <c r="AC34" i="16"/>
  <c r="AA45" i="16"/>
  <c r="AA71" i="16"/>
  <c r="AC45" i="16"/>
  <c r="AA49" i="16"/>
  <c r="AA75" i="16"/>
  <c r="AC49" i="16"/>
  <c r="AA40" i="16"/>
  <c r="AA66" i="16"/>
  <c r="AC40" i="16"/>
  <c r="AA46" i="16"/>
  <c r="AA72" i="16"/>
  <c r="AC46" i="16"/>
  <c r="AA47" i="16"/>
  <c r="AA73" i="16"/>
  <c r="AC47" i="16"/>
  <c r="AA43" i="16"/>
  <c r="AA69" i="16"/>
  <c r="AC43" i="16"/>
  <c r="AA33" i="16"/>
  <c r="AA59" i="16"/>
  <c r="AC33" i="16"/>
  <c r="AA48" i="16"/>
  <c r="AA74" i="16"/>
  <c r="AC48" i="16"/>
  <c r="AA35" i="16"/>
  <c r="AA61" i="16"/>
  <c r="AC35" i="16"/>
  <c r="AA44" i="16"/>
  <c r="AA70" i="16"/>
  <c r="AC44" i="16"/>
  <c r="AA36" i="16"/>
  <c r="AA62" i="16"/>
  <c r="AC36" i="16"/>
  <c r="D44" i="20"/>
  <c r="F44" i="20"/>
  <c r="E44" i="20"/>
  <c r="AE35" i="16"/>
  <c r="AE46" i="16"/>
  <c r="AE45" i="16"/>
  <c r="AE51" i="16"/>
  <c r="AE50" i="16"/>
  <c r="AE48" i="16"/>
  <c r="G61" i="20"/>
  <c r="J61" i="20"/>
  <c r="AE47" i="16"/>
  <c r="AE34" i="16"/>
  <c r="I47" i="20"/>
  <c r="AE32" i="16"/>
  <c r="AE33" i="16"/>
  <c r="AE41" i="16"/>
  <c r="AE42" i="16"/>
  <c r="AE37" i="16"/>
  <c r="AE39" i="16"/>
  <c r="G52" i="20"/>
  <c r="J52" i="20"/>
  <c r="AE36" i="16"/>
  <c r="G49" i="20"/>
  <c r="J49" i="20"/>
  <c r="AE40" i="16"/>
  <c r="AE44" i="16"/>
  <c r="AE43" i="16"/>
  <c r="G56" i="20"/>
  <c r="J56" i="20"/>
  <c r="AE49" i="16"/>
  <c r="AE38" i="16"/>
  <c r="G50" i="20"/>
  <c r="J50" i="20"/>
  <c r="G64" i="20"/>
  <c r="J64" i="20"/>
  <c r="G57" i="20"/>
  <c r="J57" i="20"/>
  <c r="G53" i="20"/>
  <c r="J53" i="20"/>
  <c r="G48" i="20"/>
  <c r="J48" i="20"/>
  <c r="Q23" i="86"/>
  <c r="Q20" i="86"/>
  <c r="Q22" i="86"/>
  <c r="Q16" i="86"/>
  <c r="Q21" i="86"/>
  <c r="Q19" i="86"/>
  <c r="Q24" i="86"/>
  <c r="Q17" i="86"/>
  <c r="H59" i="86"/>
  <c r="G6" i="67"/>
  <c r="Q32" i="86"/>
  <c r="Q30" i="86"/>
  <c r="Q33" i="86"/>
  <c r="Q26" i="86"/>
  <c r="Q37" i="86"/>
  <c r="Q36" i="86"/>
  <c r="Q28" i="86"/>
  <c r="Q14" i="86"/>
  <c r="Q18" i="86"/>
  <c r="C26" i="67"/>
  <c r="C27" i="67"/>
  <c r="D26" i="67"/>
  <c r="D27" i="67"/>
  <c r="F26" i="67"/>
  <c r="F27" i="67"/>
  <c r="E26" i="67"/>
  <c r="E27" i="67"/>
  <c r="G42" i="20"/>
  <c r="J42" i="20"/>
  <c r="N82" i="16"/>
  <c r="T82" i="16"/>
  <c r="AD82" i="16"/>
  <c r="AJ82" i="16"/>
  <c r="C80" i="86"/>
  <c r="C75" i="86"/>
  <c r="N7" i="86"/>
  <c r="N5" i="86"/>
  <c r="J82" i="16"/>
  <c r="P82" i="16"/>
  <c r="Z82" i="16"/>
  <c r="AF82" i="16"/>
  <c r="AP82" i="16"/>
  <c r="C77" i="86"/>
  <c r="C74" i="86"/>
  <c r="N3" i="86"/>
  <c r="F82" i="16"/>
  <c r="L82" i="16"/>
  <c r="V82" i="16"/>
  <c r="AB82" i="16"/>
  <c r="AL82" i="16"/>
  <c r="D82" i="16"/>
  <c r="C79" i="86"/>
  <c r="C76" i="86"/>
  <c r="N6" i="86"/>
  <c r="N4" i="86"/>
  <c r="H82" i="16"/>
  <c r="C78" i="86"/>
  <c r="N8" i="86"/>
  <c r="AN82" i="16"/>
  <c r="R82" i="16"/>
  <c r="C73" i="86"/>
  <c r="X82" i="16"/>
  <c r="AH82" i="16"/>
  <c r="AQ82" i="16"/>
  <c r="AO82" i="16"/>
  <c r="AM82" i="16"/>
  <c r="AK82" i="16"/>
  <c r="AI82" i="16"/>
  <c r="AG82" i="16"/>
  <c r="AE82" i="16"/>
  <c r="AC82" i="16"/>
  <c r="AA82" i="16"/>
  <c r="Y82" i="16"/>
  <c r="W82" i="16"/>
  <c r="U82" i="16"/>
  <c r="S82" i="16"/>
  <c r="Q82" i="16"/>
  <c r="O82" i="16"/>
  <c r="M82" i="16"/>
  <c r="K82" i="16"/>
  <c r="I82" i="16"/>
  <c r="G82" i="16"/>
  <c r="E82" i="16"/>
  <c r="Q35" i="86"/>
  <c r="G47" i="20"/>
  <c r="J47" i="20"/>
  <c r="C58" i="86"/>
  <c r="C81" i="86"/>
  <c r="I50" i="20"/>
  <c r="H50" i="20"/>
  <c r="K50" i="20"/>
  <c r="M50" i="20"/>
  <c r="N50" i="20"/>
  <c r="I64" i="20"/>
  <c r="H64" i="20"/>
  <c r="K64" i="20"/>
  <c r="M64" i="20"/>
  <c r="N64" i="20"/>
  <c r="I48" i="20"/>
  <c r="H48" i="20"/>
  <c r="K48" i="20"/>
  <c r="M48" i="20"/>
  <c r="N48" i="20"/>
  <c r="G62" i="20"/>
  <c r="J62" i="20"/>
  <c r="I62" i="20"/>
  <c r="I63" i="20"/>
  <c r="G63" i="20"/>
  <c r="J63" i="20"/>
  <c r="I61" i="20"/>
  <c r="H61" i="20"/>
  <c r="K61" i="20"/>
  <c r="M61" i="20"/>
  <c r="N61" i="20"/>
  <c r="G60" i="20"/>
  <c r="J60" i="20"/>
  <c r="I60" i="20"/>
  <c r="G59" i="20"/>
  <c r="J59" i="20"/>
  <c r="I59" i="20"/>
  <c r="G58" i="20"/>
  <c r="J58" i="20"/>
  <c r="I58" i="20"/>
  <c r="I57" i="20"/>
  <c r="H57" i="20"/>
  <c r="K57" i="20"/>
  <c r="M57" i="20"/>
  <c r="N57" i="20"/>
  <c r="I56" i="20"/>
  <c r="H56" i="20"/>
  <c r="K56" i="20"/>
  <c r="M56" i="20"/>
  <c r="N56" i="20"/>
  <c r="I51" i="20"/>
  <c r="G51" i="20"/>
  <c r="J51" i="20"/>
  <c r="I53" i="20"/>
  <c r="H53" i="20"/>
  <c r="K53" i="20"/>
  <c r="M53" i="20"/>
  <c r="N53" i="20"/>
  <c r="I52" i="20"/>
  <c r="H52" i="20"/>
  <c r="K52" i="20"/>
  <c r="M52" i="20"/>
  <c r="N52" i="20"/>
  <c r="G55" i="20"/>
  <c r="J55" i="20"/>
  <c r="I55" i="20"/>
  <c r="I49" i="20"/>
  <c r="H49" i="20"/>
  <c r="K49" i="20"/>
  <c r="M49" i="20"/>
  <c r="N49" i="20"/>
  <c r="G46" i="20"/>
  <c r="J46" i="20"/>
  <c r="I46" i="20"/>
  <c r="I54" i="20"/>
  <c r="G54" i="20"/>
  <c r="J54" i="20"/>
  <c r="G45" i="20"/>
  <c r="J45" i="20"/>
  <c r="I45" i="20"/>
  <c r="G26" i="67"/>
  <c r="G27" i="67"/>
  <c r="C39" i="86"/>
  <c r="C62" i="86"/>
  <c r="C45" i="86"/>
  <c r="C68" i="86"/>
  <c r="C42" i="86"/>
  <c r="C65" i="86"/>
  <c r="C47" i="86"/>
  <c r="C70" i="86"/>
  <c r="C48" i="86"/>
  <c r="C71" i="86"/>
  <c r="C43" i="86"/>
  <c r="C66" i="86"/>
  <c r="C41" i="86"/>
  <c r="C64" i="86"/>
  <c r="C49" i="86"/>
  <c r="C72" i="86"/>
  <c r="C40" i="86"/>
  <c r="C63" i="86"/>
  <c r="C46" i="86"/>
  <c r="C69" i="86"/>
  <c r="C44" i="86"/>
  <c r="C67" i="86"/>
  <c r="C55" i="86"/>
  <c r="C53" i="86"/>
  <c r="C57" i="86"/>
  <c r="C56" i="86"/>
  <c r="C50" i="86"/>
  <c r="C51" i="86"/>
  <c r="C54" i="86"/>
  <c r="C52" i="86"/>
  <c r="Z31" i="16"/>
  <c r="C61" i="86"/>
  <c r="O56" i="20"/>
  <c r="O52" i="20"/>
  <c r="O49" i="20"/>
  <c r="O57" i="20"/>
  <c r="O61" i="20"/>
  <c r="O64" i="20"/>
  <c r="O53" i="20"/>
  <c r="O48" i="20"/>
  <c r="O50" i="20"/>
  <c r="H45" i="20"/>
  <c r="K45" i="20"/>
  <c r="M45" i="20"/>
  <c r="N45" i="20"/>
  <c r="D83" i="16"/>
  <c r="D31" i="16"/>
  <c r="D57" i="16"/>
  <c r="Y57" i="16"/>
  <c r="Y31" i="16"/>
  <c r="H47" i="20"/>
  <c r="K47" i="20"/>
  <c r="M47" i="20"/>
  <c r="N47" i="20"/>
  <c r="E83" i="16"/>
  <c r="AD31" i="16"/>
  <c r="H54" i="20"/>
  <c r="K54" i="20"/>
  <c r="M54" i="20"/>
  <c r="N54" i="20"/>
  <c r="H59" i="20"/>
  <c r="K59" i="20"/>
  <c r="M59" i="20"/>
  <c r="N59" i="20"/>
  <c r="H62" i="20"/>
  <c r="K62" i="20"/>
  <c r="M62" i="20"/>
  <c r="N62" i="20"/>
  <c r="H63" i="20"/>
  <c r="K63" i="20"/>
  <c r="M63" i="20"/>
  <c r="N63" i="20"/>
  <c r="H58" i="20"/>
  <c r="K58" i="20"/>
  <c r="M58" i="20"/>
  <c r="N58" i="20"/>
  <c r="H60" i="20"/>
  <c r="K60" i="20"/>
  <c r="M60" i="20"/>
  <c r="N60" i="20"/>
  <c r="H46" i="20"/>
  <c r="K46" i="20"/>
  <c r="M46" i="20"/>
  <c r="N46" i="20"/>
  <c r="H55" i="20"/>
  <c r="K55" i="20"/>
  <c r="M55" i="20"/>
  <c r="N55" i="20"/>
  <c r="H51" i="20"/>
  <c r="K51" i="20"/>
  <c r="M51" i="20"/>
  <c r="N51" i="20"/>
  <c r="AS83" i="16"/>
  <c r="O54" i="20"/>
  <c r="O45" i="20"/>
  <c r="O59" i="20"/>
  <c r="O63" i="20"/>
  <c r="O47" i="20"/>
  <c r="O51" i="20"/>
  <c r="O58" i="20"/>
  <c r="O55" i="20"/>
  <c r="O46" i="20"/>
  <c r="O60" i="20"/>
  <c r="O62" i="20"/>
  <c r="AA31" i="16"/>
  <c r="AA57" i="16"/>
  <c r="AC31" i="16"/>
  <c r="AE31" i="16"/>
  <c r="G44" i="20"/>
  <c r="J44" i="20"/>
  <c r="I44" i="20"/>
  <c r="H44" i="20"/>
  <c r="K44" i="20"/>
  <c r="M44" i="20"/>
  <c r="N44" i="20"/>
  <c r="O44" i="20"/>
  <c r="N5" i="147"/>
  <c r="B52" i="149"/>
  <c r="B75" i="149"/>
  <c r="B73" i="148"/>
  <c r="B50" i="148"/>
  <c r="B76" i="147"/>
  <c r="B53" i="147"/>
  <c r="C58" i="150"/>
  <c r="N34" i="150"/>
  <c r="C81" i="150"/>
  <c r="N16" i="148"/>
  <c r="C40" i="148"/>
  <c r="C63" i="148"/>
  <c r="C57" i="147"/>
  <c r="N33" i="147"/>
  <c r="C80" i="147"/>
  <c r="B48" i="146"/>
  <c r="B71" i="146"/>
  <c r="C78" i="151"/>
  <c r="N31" i="151"/>
  <c r="C55" i="151"/>
  <c r="B38" i="151"/>
  <c r="B61" i="151"/>
  <c r="N26" i="150"/>
  <c r="C50" i="150"/>
  <c r="C73" i="150"/>
  <c r="B40" i="150"/>
  <c r="B63" i="150"/>
  <c r="B42" i="149"/>
  <c r="B65" i="149"/>
  <c r="B70" i="148"/>
  <c r="B47" i="148"/>
  <c r="B58" i="147"/>
  <c r="B81" i="147"/>
  <c r="N20" i="148"/>
  <c r="C67" i="148"/>
  <c r="C44" i="148"/>
  <c r="B39" i="146"/>
  <c r="B62" i="146"/>
  <c r="N3" i="151"/>
  <c r="N33" i="150"/>
  <c r="C57" i="150"/>
  <c r="C80" i="150"/>
  <c r="N4" i="150"/>
  <c r="B51" i="147"/>
  <c r="B74" i="147"/>
  <c r="C76" i="151"/>
  <c r="N29" i="151"/>
  <c r="C53" i="151"/>
  <c r="N10" i="149"/>
  <c r="N7" i="151"/>
  <c r="B63" i="149"/>
  <c r="B40" i="149"/>
  <c r="B75" i="147"/>
  <c r="B52" i="147"/>
  <c r="N23" i="150"/>
  <c r="C47" i="150"/>
  <c r="C70" i="150"/>
  <c r="C38" i="148"/>
  <c r="N14" i="148"/>
  <c r="C61" i="148"/>
  <c r="N10" i="148"/>
  <c r="B62" i="147"/>
  <c r="B39" i="147"/>
  <c r="N8" i="150"/>
  <c r="C39" i="148"/>
  <c r="C62" i="148"/>
  <c r="N15" i="148"/>
  <c r="B78" i="150"/>
  <c r="B55" i="150"/>
  <c r="C52" i="150"/>
  <c r="C75" i="150"/>
  <c r="N28" i="150"/>
  <c r="C43" i="150"/>
  <c r="C66" i="150"/>
  <c r="N19" i="150"/>
  <c r="B66" i="149"/>
  <c r="B43" i="149"/>
  <c r="B80" i="148"/>
  <c r="B57" i="148"/>
  <c r="C71" i="148"/>
  <c r="C48" i="148"/>
  <c r="N24" i="148"/>
  <c r="C42" i="148"/>
  <c r="C65" i="148"/>
  <c r="N18" i="148"/>
  <c r="N6" i="148"/>
  <c r="B45" i="147"/>
  <c r="B68" i="147"/>
  <c r="N9" i="147"/>
  <c r="C57" i="151"/>
  <c r="C80" i="151"/>
  <c r="N33" i="151"/>
  <c r="N6" i="150"/>
  <c r="N10" i="147"/>
  <c r="N6" i="142"/>
  <c r="N6" i="138"/>
  <c r="B76" i="151"/>
  <c r="B53" i="151"/>
  <c r="B68" i="151"/>
  <c r="B45" i="151"/>
  <c r="N10" i="151"/>
  <c r="B42" i="150"/>
  <c r="B65" i="150"/>
  <c r="B58" i="149"/>
  <c r="B81" i="149"/>
  <c r="N8" i="147"/>
  <c r="B63" i="148"/>
  <c r="B40" i="148"/>
  <c r="B65" i="147"/>
  <c r="B42" i="147"/>
  <c r="B76" i="150"/>
  <c r="B53" i="150"/>
  <c r="B78" i="148"/>
  <c r="B55" i="148"/>
  <c r="B41" i="148"/>
  <c r="B64" i="148"/>
  <c r="N8" i="148"/>
  <c r="N7" i="147"/>
  <c r="B67" i="148"/>
  <c r="B44" i="148"/>
  <c r="N8" i="151"/>
  <c r="B43" i="147"/>
  <c r="B66" i="147"/>
  <c r="N6" i="147"/>
  <c r="B53" i="146"/>
  <c r="B76" i="146"/>
  <c r="B57" i="149"/>
  <c r="B80" i="149"/>
  <c r="B77" i="147"/>
  <c r="B54" i="147"/>
  <c r="N10" i="146"/>
  <c r="B41" i="145"/>
  <c r="B64" i="145"/>
  <c r="B67" i="143"/>
  <c r="B44" i="143"/>
  <c r="B43" i="142"/>
  <c r="B66" i="142"/>
  <c r="N7" i="140"/>
  <c r="B79" i="135"/>
  <c r="B56" i="135"/>
  <c r="B43" i="144"/>
  <c r="B66" i="144"/>
  <c r="B78" i="140"/>
  <c r="B55" i="140"/>
  <c r="C66" i="151"/>
  <c r="N19" i="151"/>
  <c r="C43" i="151"/>
  <c r="C55" i="150"/>
  <c r="C78" i="150"/>
  <c r="N31" i="150"/>
  <c r="B74" i="149"/>
  <c r="B51" i="149"/>
  <c r="C67" i="149"/>
  <c r="C44" i="149"/>
  <c r="N20" i="149"/>
  <c r="B74" i="148"/>
  <c r="B51" i="148"/>
  <c r="N33" i="148"/>
  <c r="C57" i="148"/>
  <c r="C80" i="148"/>
  <c r="C70" i="148"/>
  <c r="C47" i="148"/>
  <c r="N23" i="148"/>
  <c r="B49" i="146"/>
  <c r="B72" i="146"/>
  <c r="C79" i="146"/>
  <c r="N32" i="146"/>
  <c r="C56" i="146"/>
  <c r="N6" i="151"/>
  <c r="N23" i="149"/>
  <c r="C70" i="149"/>
  <c r="C47" i="149"/>
  <c r="N9" i="148"/>
  <c r="B50" i="147"/>
  <c r="B73" i="147"/>
  <c r="N4" i="147"/>
  <c r="B77" i="146"/>
  <c r="B54" i="146"/>
  <c r="B79" i="150"/>
  <c r="B56" i="150"/>
  <c r="B54" i="149"/>
  <c r="B77" i="149"/>
  <c r="C41" i="149"/>
  <c r="N17" i="149"/>
  <c r="C64" i="149"/>
  <c r="N4" i="148"/>
  <c r="C76" i="147"/>
  <c r="N29" i="147"/>
  <c r="C53" i="147"/>
  <c r="N3" i="147"/>
  <c r="C44" i="151"/>
  <c r="C67" i="151"/>
  <c r="N20" i="151"/>
  <c r="B66" i="150"/>
  <c r="B43" i="150"/>
  <c r="N18" i="149"/>
  <c r="C42" i="149"/>
  <c r="C65" i="149"/>
  <c r="B54" i="151"/>
  <c r="B77" i="151"/>
  <c r="B46" i="151"/>
  <c r="B69" i="151"/>
  <c r="N4" i="151"/>
  <c r="B46" i="150"/>
  <c r="B69" i="150"/>
  <c r="B71" i="150"/>
  <c r="B48" i="150"/>
  <c r="N6" i="146"/>
  <c r="B63" i="144"/>
  <c r="B40" i="144"/>
  <c r="B67" i="144"/>
  <c r="B44" i="144"/>
  <c r="C55" i="143"/>
  <c r="N31" i="143"/>
  <c r="C78" i="143"/>
  <c r="B74" i="140"/>
  <c r="B51" i="140"/>
  <c r="N3" i="140"/>
  <c r="B42" i="139"/>
  <c r="B65" i="139"/>
  <c r="C67" i="138"/>
  <c r="N20" i="138"/>
  <c r="C44" i="138"/>
  <c r="C76" i="136"/>
  <c r="N29" i="136"/>
  <c r="C53" i="136"/>
  <c r="C41" i="135"/>
  <c r="N17" i="135"/>
  <c r="C64" i="135"/>
  <c r="N8" i="144"/>
  <c r="B76" i="137"/>
  <c r="B53" i="137"/>
  <c r="N26" i="146"/>
  <c r="C50" i="146"/>
  <c r="C73" i="146"/>
  <c r="B51" i="151"/>
  <c r="B74" i="151"/>
  <c r="B66" i="151"/>
  <c r="B43" i="151"/>
  <c r="N27" i="150"/>
  <c r="C51" i="150"/>
  <c r="C74" i="150"/>
  <c r="B61" i="150"/>
  <c r="B38" i="150"/>
  <c r="B79" i="148"/>
  <c r="B56" i="148"/>
  <c r="N5" i="148"/>
  <c r="N20" i="150"/>
  <c r="C67" i="150"/>
  <c r="C44" i="150"/>
  <c r="N9" i="149"/>
  <c r="B66" i="148"/>
  <c r="B43" i="148"/>
  <c r="B45" i="146"/>
  <c r="B68" i="146"/>
  <c r="B50" i="150"/>
  <c r="B73" i="150"/>
  <c r="N29" i="149"/>
  <c r="C76" i="149"/>
  <c r="C53" i="149"/>
  <c r="B72" i="148"/>
  <c r="B49" i="148"/>
  <c r="B76" i="148"/>
  <c r="B53" i="148"/>
  <c r="C77" i="151"/>
  <c r="N30" i="151"/>
  <c r="C54" i="151"/>
  <c r="N8" i="149"/>
  <c r="B55" i="147"/>
  <c r="B78" i="147"/>
  <c r="C80" i="146"/>
  <c r="N33" i="146"/>
  <c r="C57" i="146"/>
  <c r="N9" i="150"/>
  <c r="C43" i="148"/>
  <c r="C66" i="148"/>
  <c r="N19" i="148"/>
  <c r="B65" i="146"/>
  <c r="B42" i="146"/>
  <c r="B74" i="146"/>
  <c r="B51" i="146"/>
  <c r="B76" i="149"/>
  <c r="B53" i="149"/>
  <c r="B81" i="145"/>
  <c r="B58" i="145"/>
  <c r="N27" i="145"/>
  <c r="C51" i="145"/>
  <c r="C74" i="145"/>
  <c r="B63" i="143"/>
  <c r="B40" i="143"/>
  <c r="C72" i="142"/>
  <c r="N25" i="142"/>
  <c r="C49" i="142"/>
  <c r="B64" i="142"/>
  <c r="B41" i="142"/>
  <c r="N33" i="140"/>
  <c r="C57" i="140"/>
  <c r="C80" i="140"/>
  <c r="B74" i="139"/>
  <c r="B51" i="139"/>
  <c r="B68" i="137"/>
  <c r="B45" i="137"/>
  <c r="N29" i="135"/>
  <c r="C76" i="135"/>
  <c r="C53" i="135"/>
  <c r="N4" i="144"/>
  <c r="N23" i="151"/>
  <c r="C70" i="151"/>
  <c r="C47" i="151"/>
  <c r="B48" i="149"/>
  <c r="B71" i="149"/>
  <c r="N6" i="149"/>
  <c r="B43" i="146"/>
  <c r="B66" i="146"/>
  <c r="N7" i="150"/>
  <c r="N34" i="149"/>
  <c r="C81" i="149"/>
  <c r="C58" i="149"/>
  <c r="C52" i="149"/>
  <c r="C75" i="149"/>
  <c r="N28" i="149"/>
  <c r="B46" i="149"/>
  <c r="B69" i="149"/>
  <c r="B69" i="147"/>
  <c r="B46" i="147"/>
  <c r="B44" i="146"/>
  <c r="B67" i="146"/>
  <c r="B75" i="146"/>
  <c r="B52" i="146"/>
  <c r="B50" i="149"/>
  <c r="B73" i="149"/>
  <c r="N5" i="149"/>
  <c r="C76" i="148"/>
  <c r="N29" i="148"/>
  <c r="C53" i="148"/>
  <c r="N9" i="151"/>
  <c r="B41" i="147"/>
  <c r="B64" i="147"/>
  <c r="C71" i="151"/>
  <c r="N24" i="151"/>
  <c r="C48" i="151"/>
  <c r="B64" i="150"/>
  <c r="B41" i="150"/>
  <c r="N4" i="149"/>
  <c r="N27" i="146"/>
  <c r="C74" i="146"/>
  <c r="C51" i="146"/>
  <c r="B75" i="151"/>
  <c r="B52" i="151"/>
  <c r="B67" i="151"/>
  <c r="B44" i="151"/>
  <c r="B51" i="150"/>
  <c r="B74" i="150"/>
  <c r="N5" i="150"/>
  <c r="C79" i="147"/>
  <c r="N32" i="147"/>
  <c r="C56" i="147"/>
  <c r="B67" i="150"/>
  <c r="B44" i="150"/>
  <c r="C39" i="146"/>
  <c r="C62" i="146"/>
  <c r="N15" i="146"/>
  <c r="N16" i="145"/>
  <c r="C63" i="145"/>
  <c r="C40" i="145"/>
  <c r="B48" i="144"/>
  <c r="B71" i="144"/>
  <c r="N8" i="143"/>
  <c r="B49" i="140"/>
  <c r="B72" i="140"/>
  <c r="B41" i="139"/>
  <c r="B64" i="139"/>
  <c r="B65" i="137"/>
  <c r="B42" i="137"/>
  <c r="B49" i="136"/>
  <c r="B72" i="136"/>
  <c r="C66" i="135"/>
  <c r="C43" i="135"/>
  <c r="N19" i="135"/>
  <c r="C68" i="145"/>
  <c r="C45" i="145"/>
  <c r="N21" i="145"/>
  <c r="C78" i="142"/>
  <c r="C55" i="142"/>
  <c r="N31" i="142"/>
  <c r="N17" i="151"/>
  <c r="C41" i="151"/>
  <c r="C64" i="151"/>
  <c r="B75" i="150"/>
  <c r="B52" i="150"/>
  <c r="B39" i="148"/>
  <c r="B62" i="148"/>
  <c r="N30" i="148"/>
  <c r="C54" i="148"/>
  <c r="C77" i="148"/>
  <c r="C54" i="146"/>
  <c r="C77" i="146"/>
  <c r="N30" i="146"/>
  <c r="B57" i="151"/>
  <c r="B80" i="151"/>
  <c r="B49" i="151"/>
  <c r="B72" i="151"/>
  <c r="B64" i="151"/>
  <c r="B41" i="151"/>
  <c r="C79" i="150"/>
  <c r="C56" i="150"/>
  <c r="N32" i="150"/>
  <c r="B49" i="150"/>
  <c r="B72" i="150"/>
  <c r="N3" i="150"/>
  <c r="B79" i="147"/>
  <c r="B56" i="147"/>
  <c r="C76" i="150"/>
  <c r="N29" i="150"/>
  <c r="C53" i="150"/>
  <c r="B78" i="149"/>
  <c r="B55" i="149"/>
  <c r="B71" i="147"/>
  <c r="B48" i="147"/>
  <c r="N5" i="151"/>
  <c r="B64" i="149"/>
  <c r="B41" i="149"/>
  <c r="B69" i="148"/>
  <c r="B46" i="148"/>
  <c r="N15" i="147"/>
  <c r="C62" i="147"/>
  <c r="C39" i="147"/>
  <c r="N34" i="151"/>
  <c r="C81" i="151"/>
  <c r="C58" i="151"/>
  <c r="C42" i="151"/>
  <c r="N18" i="151"/>
  <c r="C65" i="151"/>
  <c r="B49" i="147"/>
  <c r="B72" i="147"/>
  <c r="B68" i="148"/>
  <c r="B45" i="148"/>
  <c r="B57" i="146"/>
  <c r="B80" i="146"/>
  <c r="B61" i="149"/>
  <c r="B38" i="149"/>
  <c r="C65" i="145"/>
  <c r="C42" i="145"/>
  <c r="N18" i="145"/>
  <c r="C42" i="144"/>
  <c r="C65" i="144"/>
  <c r="N18" i="144"/>
  <c r="C80" i="143"/>
  <c r="N33" i="143"/>
  <c r="C57" i="143"/>
  <c r="N4" i="143"/>
  <c r="B70" i="142"/>
  <c r="B47" i="142"/>
  <c r="B79" i="140"/>
  <c r="B56" i="140"/>
  <c r="C69" i="139"/>
  <c r="N22" i="139"/>
  <c r="C46" i="139"/>
  <c r="B67" i="139"/>
  <c r="B44" i="139"/>
  <c r="B40" i="137"/>
  <c r="B63" i="137"/>
  <c r="N32" i="135"/>
  <c r="C79" i="135"/>
  <c r="C56" i="135"/>
  <c r="B56" i="143"/>
  <c r="B79" i="143"/>
  <c r="N27" i="151"/>
  <c r="C51" i="151"/>
  <c r="C74" i="151"/>
  <c r="B77" i="148"/>
  <c r="B54" i="148"/>
  <c r="N21" i="148"/>
  <c r="C68" i="148"/>
  <c r="C45" i="148"/>
  <c r="B79" i="149"/>
  <c r="B56" i="149"/>
  <c r="B67" i="149"/>
  <c r="B44" i="149"/>
  <c r="N25" i="148"/>
  <c r="C49" i="148"/>
  <c r="C72" i="148"/>
  <c r="B67" i="147"/>
  <c r="B44" i="147"/>
  <c r="B58" i="146"/>
  <c r="B81" i="146"/>
  <c r="B73" i="146"/>
  <c r="B50" i="146"/>
  <c r="B75" i="148"/>
  <c r="B52" i="148"/>
  <c r="C39" i="150"/>
  <c r="C62" i="150"/>
  <c r="N15" i="150"/>
  <c r="N26" i="148"/>
  <c r="C73" i="148"/>
  <c r="C50" i="148"/>
  <c r="C52" i="151"/>
  <c r="C75" i="151"/>
  <c r="N28" i="151"/>
  <c r="C78" i="146"/>
  <c r="N31" i="146"/>
  <c r="C55" i="146"/>
  <c r="B81" i="151"/>
  <c r="B58" i="151"/>
  <c r="B50" i="151"/>
  <c r="B73" i="151"/>
  <c r="B42" i="151"/>
  <c r="B65" i="151"/>
  <c r="B58" i="150"/>
  <c r="B81" i="150"/>
  <c r="B49" i="149"/>
  <c r="B72" i="149"/>
  <c r="N7" i="148"/>
  <c r="C38" i="151"/>
  <c r="N14" i="151"/>
  <c r="C61" i="151"/>
  <c r="N7" i="149"/>
  <c r="B47" i="146"/>
  <c r="B70" i="146"/>
  <c r="N32" i="145"/>
  <c r="C79" i="145"/>
  <c r="C56" i="145"/>
  <c r="C72" i="145"/>
  <c r="C49" i="145"/>
  <c r="N25" i="145"/>
  <c r="B80" i="144"/>
  <c r="B57" i="144"/>
  <c r="B42" i="144"/>
  <c r="B65" i="144"/>
  <c r="C39" i="142"/>
  <c r="C62" i="142"/>
  <c r="N15" i="142"/>
  <c r="B70" i="140"/>
  <c r="B47" i="140"/>
  <c r="B81" i="139"/>
  <c r="B58" i="139"/>
  <c r="B80" i="137"/>
  <c r="B57" i="137"/>
  <c r="N26" i="135"/>
  <c r="C73" i="135"/>
  <c r="C50" i="135"/>
  <c r="N25" i="151"/>
  <c r="C72" i="151"/>
  <c r="C49" i="151"/>
  <c r="C68" i="151"/>
  <c r="N21" i="151"/>
  <c r="C45" i="151"/>
  <c r="N14" i="150"/>
  <c r="C61" i="150"/>
  <c r="C38" i="150"/>
  <c r="C72" i="150"/>
  <c r="C49" i="150"/>
  <c r="N25" i="150"/>
  <c r="C69" i="149"/>
  <c r="C46" i="149"/>
  <c r="N22" i="149"/>
  <c r="C81" i="148"/>
  <c r="N34" i="148"/>
  <c r="C58" i="148"/>
  <c r="B38" i="148"/>
  <c r="B61" i="148"/>
  <c r="N27" i="148"/>
  <c r="C51" i="148"/>
  <c r="C74" i="148"/>
  <c r="B57" i="147"/>
  <c r="B80" i="147"/>
  <c r="N34" i="146"/>
  <c r="C58" i="146"/>
  <c r="C81" i="146"/>
  <c r="C52" i="146"/>
  <c r="C75" i="146"/>
  <c r="N28" i="146"/>
  <c r="B78" i="151"/>
  <c r="B55" i="151"/>
  <c r="B70" i="151"/>
  <c r="B47" i="151"/>
  <c r="C62" i="151"/>
  <c r="C39" i="151"/>
  <c r="N15" i="151"/>
  <c r="C77" i="150"/>
  <c r="N30" i="150"/>
  <c r="C54" i="150"/>
  <c r="B68" i="150"/>
  <c r="B45" i="150"/>
  <c r="B70" i="149"/>
  <c r="B47" i="149"/>
  <c r="N30" i="149"/>
  <c r="C54" i="149"/>
  <c r="C77" i="149"/>
  <c r="C73" i="149"/>
  <c r="N26" i="149"/>
  <c r="C50" i="149"/>
  <c r="C75" i="148"/>
  <c r="N28" i="148"/>
  <c r="C52" i="148"/>
  <c r="C64" i="148"/>
  <c r="C41" i="148"/>
  <c r="N17" i="148"/>
  <c r="C55" i="147"/>
  <c r="C78" i="147"/>
  <c r="N31" i="147"/>
  <c r="B63" i="147"/>
  <c r="B40" i="147"/>
  <c r="B56" i="146"/>
  <c r="B79" i="146"/>
  <c r="B62" i="151"/>
  <c r="B39" i="151"/>
  <c r="C48" i="150"/>
  <c r="N24" i="150"/>
  <c r="C71" i="150"/>
  <c r="C55" i="149"/>
  <c r="N31" i="149"/>
  <c r="C78" i="149"/>
  <c r="N21" i="149"/>
  <c r="C68" i="149"/>
  <c r="C45" i="149"/>
  <c r="C78" i="148"/>
  <c r="N31" i="148"/>
  <c r="C55" i="148"/>
  <c r="C46" i="148"/>
  <c r="C69" i="148"/>
  <c r="N22" i="148"/>
  <c r="B47" i="147"/>
  <c r="B70" i="147"/>
  <c r="B57" i="150"/>
  <c r="B80" i="150"/>
  <c r="N10" i="150"/>
  <c r="B81" i="148"/>
  <c r="B58" i="148"/>
  <c r="B65" i="148"/>
  <c r="B42" i="148"/>
  <c r="B48" i="148"/>
  <c r="B71" i="148"/>
  <c r="N34" i="147"/>
  <c r="C81" i="147"/>
  <c r="C58" i="147"/>
  <c r="C61" i="147"/>
  <c r="N14" i="147"/>
  <c r="C38" i="147"/>
  <c r="C56" i="151"/>
  <c r="C79" i="151"/>
  <c r="N32" i="151"/>
  <c r="C73" i="151"/>
  <c r="C50" i="151"/>
  <c r="N26" i="151"/>
  <c r="C69" i="151"/>
  <c r="C46" i="151"/>
  <c r="N22" i="151"/>
  <c r="N16" i="151"/>
  <c r="C63" i="151"/>
  <c r="C40" i="151"/>
  <c r="C40" i="149"/>
  <c r="C63" i="149"/>
  <c r="N16" i="149"/>
  <c r="C79" i="148"/>
  <c r="N32" i="148"/>
  <c r="C56" i="148"/>
  <c r="N19" i="147"/>
  <c r="C43" i="147"/>
  <c r="C66" i="147"/>
  <c r="C76" i="146"/>
  <c r="N29" i="146"/>
  <c r="C53" i="146"/>
  <c r="B56" i="151"/>
  <c r="B79" i="151"/>
  <c r="B48" i="151"/>
  <c r="B71" i="151"/>
  <c r="B63" i="151"/>
  <c r="B40" i="151"/>
  <c r="B77" i="150"/>
  <c r="B54" i="150"/>
  <c r="B45" i="149"/>
  <c r="B68" i="149"/>
  <c r="N3" i="148"/>
  <c r="C77" i="147"/>
  <c r="C54" i="147"/>
  <c r="N30" i="147"/>
  <c r="B78" i="146"/>
  <c r="B55" i="146"/>
  <c r="B47" i="150"/>
  <c r="B70" i="150"/>
  <c r="N18" i="150"/>
  <c r="C42" i="150"/>
  <c r="C65" i="150"/>
  <c r="N3" i="149"/>
  <c r="B41" i="146"/>
  <c r="B64" i="146"/>
  <c r="B47" i="145"/>
  <c r="B70" i="145"/>
  <c r="B77" i="145"/>
  <c r="B54" i="145"/>
  <c r="C43" i="145"/>
  <c r="C66" i="145"/>
  <c r="N19" i="145"/>
  <c r="B46" i="144"/>
  <c r="B69" i="144"/>
  <c r="B55" i="144"/>
  <c r="B78" i="144"/>
  <c r="B39" i="144"/>
  <c r="B62" i="144"/>
  <c r="B69" i="143"/>
  <c r="B46" i="143"/>
  <c r="C74" i="142"/>
  <c r="C51" i="142"/>
  <c r="N27" i="142"/>
  <c r="B68" i="142"/>
  <c r="B45" i="142"/>
  <c r="N10" i="142"/>
  <c r="C52" i="140"/>
  <c r="N28" i="140"/>
  <c r="C75" i="140"/>
  <c r="B38" i="140"/>
  <c r="B61" i="140"/>
  <c r="N14" i="139"/>
  <c r="C61" i="139"/>
  <c r="C38" i="139"/>
  <c r="N32" i="139"/>
  <c r="C56" i="139"/>
  <c r="C79" i="139"/>
  <c r="B49" i="138"/>
  <c r="B72" i="138"/>
  <c r="C51" i="137"/>
  <c r="C74" i="137"/>
  <c r="N27" i="137"/>
  <c r="B79" i="136"/>
  <c r="B56" i="136"/>
  <c r="C69" i="136"/>
  <c r="N22" i="136"/>
  <c r="C46" i="136"/>
  <c r="C47" i="135"/>
  <c r="N23" i="135"/>
  <c r="C70" i="135"/>
  <c r="N31" i="135"/>
  <c r="C78" i="135"/>
  <c r="C55" i="135"/>
  <c r="C50" i="145"/>
  <c r="N26" i="145"/>
  <c r="C73" i="145"/>
  <c r="C52" i="145"/>
  <c r="N28" i="145"/>
  <c r="C75" i="145"/>
  <c r="C53" i="143"/>
  <c r="N29" i="143"/>
  <c r="C76" i="143"/>
  <c r="B39" i="142"/>
  <c r="B62" i="142"/>
  <c r="B44" i="138"/>
  <c r="B67" i="138"/>
  <c r="N3" i="137"/>
  <c r="N3" i="136"/>
  <c r="N10" i="136"/>
  <c r="N4" i="142"/>
  <c r="N5" i="136"/>
  <c r="N9" i="143"/>
  <c r="B55" i="145"/>
  <c r="B78" i="145"/>
  <c r="B50" i="145"/>
  <c r="B73" i="145"/>
  <c r="N9" i="142"/>
  <c r="B80" i="139"/>
  <c r="B57" i="139"/>
  <c r="B46" i="145"/>
  <c r="B69" i="145"/>
  <c r="B48" i="143"/>
  <c r="B71" i="143"/>
  <c r="B45" i="139"/>
  <c r="B68" i="139"/>
  <c r="N9" i="138"/>
  <c r="N6" i="136"/>
  <c r="B69" i="146"/>
  <c r="B46" i="146"/>
  <c r="B64" i="143"/>
  <c r="B41" i="143"/>
  <c r="B54" i="144"/>
  <c r="B77" i="144"/>
  <c r="B40" i="139"/>
  <c r="B63" i="139"/>
  <c r="N8" i="138"/>
  <c r="B38" i="146"/>
  <c r="B61" i="146"/>
  <c r="B52" i="144"/>
  <c r="B75" i="144"/>
  <c r="N5" i="143"/>
  <c r="B61" i="142"/>
  <c r="B38" i="142"/>
  <c r="B48" i="139"/>
  <c r="B71" i="139"/>
  <c r="B55" i="137"/>
  <c r="B78" i="137"/>
  <c r="B67" i="137"/>
  <c r="B44" i="137"/>
  <c r="B76" i="145"/>
  <c r="B53" i="145"/>
  <c r="C80" i="139"/>
  <c r="N33" i="139"/>
  <c r="C57" i="139"/>
  <c r="N25" i="139"/>
  <c r="C49" i="139"/>
  <c r="C72" i="139"/>
  <c r="B61" i="139"/>
  <c r="B38" i="139"/>
  <c r="N10" i="138"/>
  <c r="B55" i="136"/>
  <c r="B78" i="136"/>
  <c r="C73" i="136"/>
  <c r="N26" i="136"/>
  <c r="C50" i="136"/>
  <c r="B48" i="135"/>
  <c r="B71" i="135"/>
  <c r="B78" i="135"/>
  <c r="B55" i="135"/>
  <c r="C38" i="143"/>
  <c r="C61" i="143"/>
  <c r="N14" i="143"/>
  <c r="N5" i="142"/>
  <c r="C67" i="140"/>
  <c r="N20" i="140"/>
  <c r="C44" i="140"/>
  <c r="B70" i="139"/>
  <c r="B47" i="139"/>
  <c r="B63" i="138"/>
  <c r="B40" i="138"/>
  <c r="C42" i="146"/>
  <c r="N18" i="146"/>
  <c r="C65" i="146"/>
  <c r="C79" i="140"/>
  <c r="C56" i="140"/>
  <c r="N32" i="140"/>
  <c r="B76" i="138"/>
  <c r="B53" i="138"/>
  <c r="N5" i="138"/>
  <c r="C64" i="137"/>
  <c r="C41" i="137"/>
  <c r="N17" i="137"/>
  <c r="N30" i="145"/>
  <c r="C77" i="145"/>
  <c r="C54" i="145"/>
  <c r="B81" i="143"/>
  <c r="B58" i="143"/>
  <c r="B67" i="142"/>
  <c r="B44" i="142"/>
  <c r="B57" i="140"/>
  <c r="B80" i="140"/>
  <c r="N16" i="139"/>
  <c r="C63" i="139"/>
  <c r="C40" i="139"/>
  <c r="B47" i="136"/>
  <c r="B70" i="136"/>
  <c r="N27" i="136"/>
  <c r="C51" i="136"/>
  <c r="C74" i="136"/>
  <c r="N15" i="144"/>
  <c r="C62" i="144"/>
  <c r="C39" i="144"/>
  <c r="B50" i="142"/>
  <c r="B73" i="142"/>
  <c r="B73" i="139"/>
  <c r="B50" i="139"/>
  <c r="N9" i="139"/>
  <c r="N4" i="138"/>
  <c r="B39" i="137"/>
  <c r="B62" i="137"/>
  <c r="N7" i="146"/>
  <c r="N7" i="142"/>
  <c r="N9" i="146"/>
  <c r="B72" i="144"/>
  <c r="B49" i="144"/>
  <c r="N7" i="143"/>
  <c r="B52" i="139"/>
  <c r="B75" i="139"/>
  <c r="N28" i="137"/>
  <c r="C75" i="137"/>
  <c r="C52" i="137"/>
  <c r="B80" i="136"/>
  <c r="B57" i="136"/>
  <c r="N19" i="136"/>
  <c r="C43" i="136"/>
  <c r="C66" i="136"/>
  <c r="B73" i="135"/>
  <c r="B50" i="135"/>
  <c r="C75" i="135"/>
  <c r="N28" i="135"/>
  <c r="C52" i="135"/>
  <c r="N28" i="144"/>
  <c r="C75" i="144"/>
  <c r="C52" i="144"/>
  <c r="B49" i="143"/>
  <c r="B72" i="143"/>
  <c r="C71" i="142"/>
  <c r="N24" i="142"/>
  <c r="C48" i="142"/>
  <c r="C71" i="140"/>
  <c r="C48" i="140"/>
  <c r="N24" i="140"/>
  <c r="B76" i="139"/>
  <c r="B53" i="139"/>
  <c r="N10" i="137"/>
  <c r="C70" i="136"/>
  <c r="N23" i="136"/>
  <c r="C47" i="136"/>
  <c r="B80" i="135"/>
  <c r="B57" i="135"/>
  <c r="B63" i="146"/>
  <c r="B40" i="146"/>
  <c r="C81" i="144"/>
  <c r="C58" i="144"/>
  <c r="N34" i="144"/>
  <c r="B66" i="137"/>
  <c r="B43" i="137"/>
  <c r="C65" i="135"/>
  <c r="C42" i="135"/>
  <c r="N18" i="135"/>
  <c r="C38" i="146"/>
  <c r="N14" i="146"/>
  <c r="C61" i="146"/>
  <c r="N10" i="144"/>
  <c r="N26" i="143"/>
  <c r="C50" i="143"/>
  <c r="C73" i="143"/>
  <c r="C56" i="142"/>
  <c r="N32" i="142"/>
  <c r="C79" i="142"/>
  <c r="N25" i="140"/>
  <c r="C49" i="140"/>
  <c r="C72" i="140"/>
  <c r="N5" i="139"/>
  <c r="N9" i="137"/>
  <c r="C81" i="135"/>
  <c r="N34" i="135"/>
  <c r="C58" i="135"/>
  <c r="N3" i="146"/>
  <c r="B50" i="144"/>
  <c r="B73" i="144"/>
  <c r="B58" i="142"/>
  <c r="B81" i="142"/>
  <c r="N3" i="142"/>
  <c r="B81" i="136"/>
  <c r="B58" i="136"/>
  <c r="B71" i="136"/>
  <c r="B48" i="136"/>
  <c r="C71" i="145"/>
  <c r="C48" i="145"/>
  <c r="N24" i="145"/>
  <c r="B49" i="145"/>
  <c r="B72" i="145"/>
  <c r="B42" i="145"/>
  <c r="B65" i="145"/>
  <c r="B74" i="143"/>
  <c r="B51" i="143"/>
  <c r="C46" i="140"/>
  <c r="N22" i="140"/>
  <c r="C69" i="140"/>
  <c r="N7" i="139"/>
  <c r="C67" i="137"/>
  <c r="N20" i="137"/>
  <c r="C44" i="137"/>
  <c r="B46" i="136"/>
  <c r="B69" i="136"/>
  <c r="B47" i="135"/>
  <c r="B70" i="135"/>
  <c r="N5" i="146"/>
  <c r="N33" i="145"/>
  <c r="C57" i="145"/>
  <c r="C80" i="145"/>
  <c r="C69" i="145"/>
  <c r="N22" i="145"/>
  <c r="C46" i="145"/>
  <c r="C63" i="144"/>
  <c r="N16" i="144"/>
  <c r="C40" i="144"/>
  <c r="N3" i="143"/>
  <c r="B79" i="137"/>
  <c r="B56" i="137"/>
  <c r="N22" i="146"/>
  <c r="C69" i="146"/>
  <c r="C46" i="146"/>
  <c r="N20" i="145"/>
  <c r="C44" i="145"/>
  <c r="C67" i="145"/>
  <c r="C42" i="142"/>
  <c r="C65" i="142"/>
  <c r="N18" i="142"/>
  <c r="N21" i="139"/>
  <c r="C45" i="139"/>
  <c r="C68" i="139"/>
  <c r="B74" i="138"/>
  <c r="B51" i="138"/>
  <c r="B81" i="137"/>
  <c r="B58" i="137"/>
  <c r="C77" i="137"/>
  <c r="C54" i="137"/>
  <c r="N30" i="137"/>
  <c r="N6" i="137"/>
  <c r="N8" i="146"/>
  <c r="B74" i="145"/>
  <c r="B51" i="145"/>
  <c r="C62" i="143"/>
  <c r="N15" i="143"/>
  <c r="C39" i="143"/>
  <c r="C73" i="142"/>
  <c r="N26" i="142"/>
  <c r="C50" i="142"/>
  <c r="B65" i="142"/>
  <c r="B42" i="142"/>
  <c r="B75" i="140"/>
  <c r="B52" i="140"/>
  <c r="N26" i="139"/>
  <c r="C73" i="139"/>
  <c r="C50" i="139"/>
  <c r="B77" i="137"/>
  <c r="B54" i="137"/>
  <c r="B41" i="136"/>
  <c r="B64" i="136"/>
  <c r="N9" i="145"/>
  <c r="C73" i="144"/>
  <c r="C50" i="144"/>
  <c r="N26" i="144"/>
  <c r="N6" i="144"/>
  <c r="N5" i="137"/>
  <c r="C71" i="136"/>
  <c r="N24" i="136"/>
  <c r="C48" i="136"/>
  <c r="N8" i="140"/>
  <c r="N29" i="139"/>
  <c r="C53" i="139"/>
  <c r="C76" i="139"/>
  <c r="N29" i="137"/>
  <c r="C76" i="137"/>
  <c r="C53" i="137"/>
  <c r="B51" i="135"/>
  <c r="B74" i="135"/>
  <c r="N7" i="145"/>
  <c r="B76" i="144"/>
  <c r="B53" i="144"/>
  <c r="B57" i="143"/>
  <c r="B80" i="143"/>
  <c r="C76" i="142"/>
  <c r="C53" i="142"/>
  <c r="N29" i="142"/>
  <c r="C51" i="139"/>
  <c r="N27" i="139"/>
  <c r="C74" i="139"/>
  <c r="N3" i="139"/>
  <c r="B71" i="137"/>
  <c r="B48" i="137"/>
  <c r="C57" i="136"/>
  <c r="C80" i="136"/>
  <c r="N33" i="136"/>
  <c r="C81" i="140"/>
  <c r="N34" i="140"/>
  <c r="C58" i="140"/>
  <c r="C42" i="140"/>
  <c r="N18" i="140"/>
  <c r="C65" i="140"/>
  <c r="B54" i="139"/>
  <c r="B77" i="139"/>
  <c r="C62" i="139"/>
  <c r="C39" i="139"/>
  <c r="N15" i="139"/>
  <c r="B62" i="135"/>
  <c r="B39" i="135"/>
  <c r="N16" i="146"/>
  <c r="C40" i="146"/>
  <c r="C63" i="146"/>
  <c r="N10" i="145"/>
  <c r="B70" i="144"/>
  <c r="B47" i="144"/>
  <c r="B70" i="143"/>
  <c r="B47" i="143"/>
  <c r="C73" i="140"/>
  <c r="C50" i="140"/>
  <c r="N26" i="140"/>
  <c r="B72" i="139"/>
  <c r="B49" i="139"/>
  <c r="N10" i="139"/>
  <c r="B66" i="136"/>
  <c r="B43" i="136"/>
  <c r="B75" i="135"/>
  <c r="B52" i="135"/>
  <c r="N4" i="146"/>
  <c r="N21" i="143"/>
  <c r="C45" i="143"/>
  <c r="C68" i="143"/>
  <c r="N10" i="143"/>
  <c r="N9" i="140"/>
  <c r="B64" i="137"/>
  <c r="B41" i="137"/>
  <c r="C44" i="136"/>
  <c r="N20" i="136"/>
  <c r="C67" i="136"/>
  <c r="B44" i="135"/>
  <c r="B67" i="135"/>
  <c r="N5" i="145"/>
  <c r="B39" i="143"/>
  <c r="B62" i="143"/>
  <c r="C38" i="142"/>
  <c r="C61" i="142"/>
  <c r="N14" i="142"/>
  <c r="C71" i="139"/>
  <c r="N24" i="139"/>
  <c r="C48" i="139"/>
  <c r="B43" i="138"/>
  <c r="B66" i="138"/>
  <c r="C55" i="137"/>
  <c r="N31" i="137"/>
  <c r="C78" i="137"/>
  <c r="B65" i="135"/>
  <c r="B42" i="135"/>
  <c r="B57" i="145"/>
  <c r="B80" i="145"/>
  <c r="B64" i="144"/>
  <c r="B41" i="144"/>
  <c r="B56" i="142"/>
  <c r="B79" i="142"/>
  <c r="N4" i="140"/>
  <c r="N3" i="145"/>
  <c r="N31" i="140"/>
  <c r="C78" i="140"/>
  <c r="C55" i="140"/>
  <c r="N23" i="139"/>
  <c r="C47" i="139"/>
  <c r="C70" i="139"/>
  <c r="B61" i="137"/>
  <c r="B38" i="137"/>
  <c r="B38" i="136"/>
  <c r="B61" i="136"/>
  <c r="B41" i="135"/>
  <c r="B64" i="135"/>
  <c r="B68" i="145"/>
  <c r="B45" i="145"/>
  <c r="C49" i="144"/>
  <c r="C72" i="144"/>
  <c r="N25" i="144"/>
  <c r="B80" i="142"/>
  <c r="B57" i="142"/>
  <c r="N10" i="140"/>
  <c r="B73" i="137"/>
  <c r="B50" i="137"/>
  <c r="C73" i="137"/>
  <c r="N26" i="137"/>
  <c r="C50" i="137"/>
  <c r="C77" i="136"/>
  <c r="C54" i="136"/>
  <c r="N30" i="136"/>
  <c r="C63" i="136"/>
  <c r="N16" i="136"/>
  <c r="C40" i="136"/>
  <c r="C49" i="135"/>
  <c r="C72" i="135"/>
  <c r="N25" i="135"/>
  <c r="N6" i="145"/>
  <c r="N7" i="144"/>
  <c r="C69" i="142"/>
  <c r="C46" i="142"/>
  <c r="N22" i="142"/>
  <c r="N19" i="140"/>
  <c r="C66" i="140"/>
  <c r="C43" i="140"/>
  <c r="N6" i="139"/>
  <c r="B47" i="138"/>
  <c r="B70" i="138"/>
  <c r="B69" i="137"/>
  <c r="B46" i="137"/>
  <c r="B51" i="136"/>
  <c r="B74" i="136"/>
  <c r="B66" i="145"/>
  <c r="B43" i="145"/>
  <c r="C54" i="144"/>
  <c r="C77" i="144"/>
  <c r="N30" i="144"/>
  <c r="N6" i="143"/>
  <c r="B71" i="142"/>
  <c r="B48" i="142"/>
  <c r="B63" i="142"/>
  <c r="B40" i="142"/>
  <c r="N5" i="140"/>
  <c r="B47" i="137"/>
  <c r="B70" i="137"/>
  <c r="B77" i="143"/>
  <c r="B54" i="143"/>
  <c r="C77" i="142"/>
  <c r="N30" i="142"/>
  <c r="C54" i="142"/>
  <c r="C81" i="139"/>
  <c r="N34" i="139"/>
  <c r="C58" i="139"/>
  <c r="B42" i="136"/>
  <c r="B65" i="136"/>
  <c r="B67" i="136"/>
  <c r="B44" i="136"/>
  <c r="C65" i="136"/>
  <c r="C42" i="136"/>
  <c r="N18" i="136"/>
  <c r="C68" i="136"/>
  <c r="C45" i="136"/>
  <c r="N21" i="136"/>
  <c r="C78" i="145"/>
  <c r="N31" i="145"/>
  <c r="C55" i="145"/>
  <c r="N23" i="145"/>
  <c r="C70" i="145"/>
  <c r="C47" i="145"/>
  <c r="C55" i="144"/>
  <c r="N31" i="144"/>
  <c r="C78" i="144"/>
  <c r="B74" i="144"/>
  <c r="B51" i="144"/>
  <c r="B78" i="143"/>
  <c r="B55" i="143"/>
  <c r="C57" i="142"/>
  <c r="N33" i="142"/>
  <c r="C80" i="142"/>
  <c r="B51" i="142"/>
  <c r="B74" i="142"/>
  <c r="N30" i="140"/>
  <c r="C77" i="140"/>
  <c r="C54" i="140"/>
  <c r="N16" i="140"/>
  <c r="C40" i="140"/>
  <c r="C63" i="140"/>
  <c r="C54" i="139"/>
  <c r="N30" i="139"/>
  <c r="C77" i="139"/>
  <c r="C65" i="139"/>
  <c r="C42" i="139"/>
  <c r="N18" i="139"/>
  <c r="B64" i="138"/>
  <c r="B41" i="138"/>
  <c r="B51" i="137"/>
  <c r="B74" i="137"/>
  <c r="N7" i="137"/>
  <c r="B76" i="136"/>
  <c r="B53" i="136"/>
  <c r="N7" i="136"/>
  <c r="B81" i="135"/>
  <c r="B58" i="135"/>
  <c r="C81" i="145"/>
  <c r="N34" i="145"/>
  <c r="C58" i="145"/>
  <c r="N29" i="145"/>
  <c r="C76" i="145"/>
  <c r="C53" i="145"/>
  <c r="C41" i="145"/>
  <c r="C64" i="145"/>
  <c r="N17" i="145"/>
  <c r="C70" i="144"/>
  <c r="C47" i="144"/>
  <c r="N23" i="144"/>
  <c r="N25" i="143"/>
  <c r="C72" i="143"/>
  <c r="C49" i="143"/>
  <c r="B55" i="142"/>
  <c r="B78" i="142"/>
  <c r="B54" i="140"/>
  <c r="B77" i="140"/>
  <c r="N6" i="140"/>
  <c r="N28" i="139"/>
  <c r="C52" i="139"/>
  <c r="C75" i="139"/>
  <c r="C66" i="138"/>
  <c r="N19" i="138"/>
  <c r="C43" i="138"/>
  <c r="B75" i="137"/>
  <c r="B52" i="137"/>
  <c r="N22" i="137"/>
  <c r="C46" i="137"/>
  <c r="C69" i="137"/>
  <c r="B73" i="136"/>
  <c r="B50" i="136"/>
  <c r="N33" i="135"/>
  <c r="C57" i="135"/>
  <c r="C80" i="135"/>
  <c r="C77" i="135"/>
  <c r="N30" i="135"/>
  <c r="C54" i="135"/>
  <c r="N24" i="146"/>
  <c r="C48" i="146"/>
  <c r="C71" i="146"/>
  <c r="C67" i="146"/>
  <c r="N20" i="146"/>
  <c r="C44" i="146"/>
  <c r="B38" i="145"/>
  <c r="B61" i="145"/>
  <c r="B79" i="144"/>
  <c r="B56" i="144"/>
  <c r="N3" i="144"/>
  <c r="C41" i="143"/>
  <c r="N17" i="143"/>
  <c r="C64" i="143"/>
  <c r="N20" i="142"/>
  <c r="C44" i="142"/>
  <c r="C67" i="142"/>
  <c r="C63" i="142"/>
  <c r="N16" i="142"/>
  <c r="C40" i="142"/>
  <c r="C53" i="140"/>
  <c r="N29" i="140"/>
  <c r="C76" i="140"/>
  <c r="C64" i="140"/>
  <c r="C41" i="140"/>
  <c r="N17" i="140"/>
  <c r="B62" i="139"/>
  <c r="B39" i="139"/>
  <c r="B55" i="138"/>
  <c r="B78" i="138"/>
  <c r="B45" i="138"/>
  <c r="B68" i="138"/>
  <c r="N23" i="137"/>
  <c r="C70" i="137"/>
  <c r="C47" i="137"/>
  <c r="C66" i="137"/>
  <c r="C43" i="137"/>
  <c r="N19" i="137"/>
  <c r="B77" i="136"/>
  <c r="B54" i="136"/>
  <c r="B40" i="136"/>
  <c r="B63" i="136"/>
  <c r="B49" i="135"/>
  <c r="B72" i="135"/>
  <c r="B79" i="145"/>
  <c r="B56" i="145"/>
  <c r="B63" i="145"/>
  <c r="B40" i="145"/>
  <c r="B45" i="144"/>
  <c r="B68" i="144"/>
  <c r="B66" i="143"/>
  <c r="B43" i="143"/>
  <c r="C52" i="142"/>
  <c r="N28" i="142"/>
  <c r="C75" i="142"/>
  <c r="B46" i="142"/>
  <c r="B69" i="142"/>
  <c r="N8" i="142"/>
  <c r="C55" i="139"/>
  <c r="C78" i="139"/>
  <c r="N31" i="139"/>
  <c r="N19" i="139"/>
  <c r="C66" i="139"/>
  <c r="C43" i="139"/>
  <c r="C58" i="137"/>
  <c r="N34" i="137"/>
  <c r="C81" i="137"/>
  <c r="N15" i="137"/>
  <c r="C62" i="137"/>
  <c r="C39" i="137"/>
  <c r="N34" i="136"/>
  <c r="C81" i="136"/>
  <c r="C58" i="136"/>
  <c r="C41" i="136"/>
  <c r="N17" i="136"/>
  <c r="C64" i="136"/>
  <c r="C51" i="135"/>
  <c r="N27" i="135"/>
  <c r="C74" i="135"/>
  <c r="B58" i="144"/>
  <c r="B81" i="144"/>
  <c r="C64" i="144"/>
  <c r="C41" i="144"/>
  <c r="N17" i="144"/>
  <c r="B75" i="143"/>
  <c r="B52" i="143"/>
  <c r="N34" i="142"/>
  <c r="C81" i="142"/>
  <c r="C58" i="142"/>
  <c r="B52" i="142"/>
  <c r="B75" i="142"/>
  <c r="C51" i="140"/>
  <c r="N27" i="140"/>
  <c r="C74" i="140"/>
  <c r="B55" i="139"/>
  <c r="B78" i="139"/>
  <c r="B66" i="139"/>
  <c r="B43" i="139"/>
  <c r="C62" i="138"/>
  <c r="N15" i="138"/>
  <c r="C39" i="138"/>
  <c r="C45" i="137"/>
  <c r="N21" i="137"/>
  <c r="C68" i="137"/>
  <c r="C55" i="136"/>
  <c r="N31" i="136"/>
  <c r="C78" i="136"/>
  <c r="N9" i="136"/>
  <c r="B76" i="135"/>
  <c r="B53" i="135"/>
  <c r="B75" i="145"/>
  <c r="B52" i="145"/>
  <c r="B73" i="143"/>
  <c r="B50" i="143"/>
  <c r="B77" i="142"/>
  <c r="B54" i="142"/>
  <c r="B79" i="139"/>
  <c r="B56" i="139"/>
  <c r="N16" i="138"/>
  <c r="C40" i="138"/>
  <c r="C63" i="138"/>
  <c r="C49" i="137"/>
  <c r="C72" i="137"/>
  <c r="N25" i="137"/>
  <c r="N28" i="136"/>
  <c r="C75" i="136"/>
  <c r="C52" i="136"/>
  <c r="B62" i="136"/>
  <c r="B39" i="136"/>
  <c r="C45" i="146"/>
  <c r="C68" i="146"/>
  <c r="N21" i="146"/>
  <c r="N8" i="139"/>
  <c r="N8" i="137"/>
  <c r="N7" i="128"/>
  <c r="N7" i="135"/>
  <c r="B47" i="16"/>
  <c r="B73" i="16"/>
  <c r="B99" i="16"/>
  <c r="B60" i="20"/>
  <c r="B37" i="16"/>
  <c r="B63" i="16"/>
  <c r="B89" i="16"/>
  <c r="B50" i="20"/>
  <c r="B41" i="16"/>
  <c r="B67" i="16"/>
  <c r="B93" i="16"/>
  <c r="B54" i="20"/>
  <c r="C41" i="16"/>
  <c r="C67" i="16"/>
  <c r="C93" i="16"/>
  <c r="C54" i="20"/>
  <c r="C38" i="16"/>
  <c r="C64" i="16"/>
  <c r="C90" i="16"/>
  <c r="C51" i="20"/>
  <c r="N8" i="145"/>
  <c r="N4" i="139"/>
  <c r="B73" i="138"/>
  <c r="B50" i="138"/>
  <c r="N4" i="137"/>
  <c r="B54" i="135"/>
  <c r="B77" i="135"/>
  <c r="B62" i="134"/>
  <c r="B39" i="134"/>
  <c r="B71" i="128"/>
  <c r="B48" i="128"/>
  <c r="B68" i="135"/>
  <c r="B45" i="135"/>
  <c r="B80" i="128"/>
  <c r="B57" i="128"/>
  <c r="N8" i="128"/>
  <c r="B72" i="134"/>
  <c r="B49" i="134"/>
  <c r="B75" i="134"/>
  <c r="B52" i="134"/>
  <c r="B63" i="134"/>
  <c r="B40" i="134"/>
  <c r="B56" i="128"/>
  <c r="B79" i="128"/>
  <c r="N3" i="128"/>
  <c r="N3" i="135"/>
  <c r="B40" i="128"/>
  <c r="B63" i="128"/>
  <c r="B42" i="138"/>
  <c r="B65" i="138"/>
  <c r="B80" i="138"/>
  <c r="B57" i="138"/>
  <c r="B48" i="140"/>
  <c r="B71" i="140"/>
  <c r="B39" i="128"/>
  <c r="B62" i="128"/>
  <c r="B33" i="16"/>
  <c r="B59" i="16"/>
  <c r="B85" i="16"/>
  <c r="B46" i="20"/>
  <c r="B45" i="16"/>
  <c r="B71" i="16"/>
  <c r="B97" i="16"/>
  <c r="B58" i="20"/>
  <c r="B51" i="16"/>
  <c r="B77" i="16"/>
  <c r="B103" i="16"/>
  <c r="B64" i="20"/>
  <c r="C33" i="16"/>
  <c r="C59" i="16"/>
  <c r="C85" i="16"/>
  <c r="C46" i="20"/>
  <c r="C50" i="16"/>
  <c r="C76" i="16"/>
  <c r="C102" i="16"/>
  <c r="C63" i="20"/>
  <c r="C37" i="16"/>
  <c r="C63" i="16"/>
  <c r="C89" i="16"/>
  <c r="C50" i="20"/>
  <c r="N4" i="145"/>
  <c r="C46" i="143"/>
  <c r="N22" i="143"/>
  <c r="C69" i="143"/>
  <c r="B76" i="140"/>
  <c r="B53" i="140"/>
  <c r="C41" i="139"/>
  <c r="N17" i="139"/>
  <c r="C64" i="139"/>
  <c r="C57" i="137"/>
  <c r="C80" i="137"/>
  <c r="N33" i="137"/>
  <c r="N10" i="135"/>
  <c r="C47" i="134"/>
  <c r="N23" i="134"/>
  <c r="C70" i="134"/>
  <c r="N23" i="128"/>
  <c r="C47" i="128"/>
  <c r="C70" i="128"/>
  <c r="N4" i="128"/>
  <c r="B48" i="134"/>
  <c r="B71" i="134"/>
  <c r="B75" i="128"/>
  <c r="B52" i="128"/>
  <c r="B58" i="134"/>
  <c r="B81" i="134"/>
  <c r="N10" i="128"/>
  <c r="N9" i="128"/>
  <c r="C74" i="147"/>
  <c r="N27" i="147"/>
  <c r="C51" i="147"/>
  <c r="C48" i="137"/>
  <c r="C71" i="137"/>
  <c r="N24" i="137"/>
  <c r="C71" i="149"/>
  <c r="N24" i="149"/>
  <c r="C48" i="149"/>
  <c r="C76" i="138"/>
  <c r="N29" i="138"/>
  <c r="C53" i="138"/>
  <c r="C54" i="138"/>
  <c r="N30" i="138"/>
  <c r="C77" i="138"/>
  <c r="N23" i="143"/>
  <c r="C70" i="143"/>
  <c r="C47" i="143"/>
  <c r="N16" i="143"/>
  <c r="C63" i="143"/>
  <c r="C40" i="143"/>
  <c r="C39" i="145"/>
  <c r="N15" i="145"/>
  <c r="C62" i="145"/>
  <c r="C66" i="149"/>
  <c r="C43" i="149"/>
  <c r="N19" i="149"/>
  <c r="B81" i="138"/>
  <c r="B58" i="138"/>
  <c r="C66" i="144"/>
  <c r="C43" i="144"/>
  <c r="N19" i="144"/>
  <c r="B34" i="16"/>
  <c r="B60" i="16"/>
  <c r="B86" i="16"/>
  <c r="B47" i="20"/>
  <c r="B39" i="16"/>
  <c r="B65" i="16"/>
  <c r="B91" i="16"/>
  <c r="B52" i="20"/>
  <c r="B31" i="16"/>
  <c r="B57" i="16"/>
  <c r="B83" i="16"/>
  <c r="B44" i="20"/>
  <c r="C36" i="16"/>
  <c r="C62" i="16"/>
  <c r="C88" i="16"/>
  <c r="C49" i="20"/>
  <c r="C51" i="16"/>
  <c r="C77" i="16"/>
  <c r="C103" i="16"/>
  <c r="C64" i="20"/>
  <c r="C43" i="142"/>
  <c r="N19" i="142"/>
  <c r="C66" i="142"/>
  <c r="B79" i="138"/>
  <c r="B56" i="138"/>
  <c r="B71" i="138"/>
  <c r="B48" i="138"/>
  <c r="B68" i="136"/>
  <c r="B45" i="136"/>
  <c r="B45" i="134"/>
  <c r="B68" i="134"/>
  <c r="B46" i="134"/>
  <c r="B69" i="134"/>
  <c r="B44" i="128"/>
  <c r="B67" i="128"/>
  <c r="C57" i="128"/>
  <c r="N33" i="128"/>
  <c r="C80" i="128"/>
  <c r="N6" i="135"/>
  <c r="C64" i="134"/>
  <c r="C41" i="134"/>
  <c r="N17" i="134"/>
  <c r="C40" i="135"/>
  <c r="N16" i="135"/>
  <c r="C63" i="135"/>
  <c r="B65" i="134"/>
  <c r="B42" i="134"/>
  <c r="B50" i="134"/>
  <c r="B73" i="134"/>
  <c r="C56" i="128"/>
  <c r="N32" i="128"/>
  <c r="C79" i="128"/>
  <c r="C64" i="128"/>
  <c r="C41" i="128"/>
  <c r="N17" i="128"/>
  <c r="B66" i="135"/>
  <c r="B43" i="135"/>
  <c r="B54" i="134"/>
  <c r="B77" i="134"/>
  <c r="C39" i="134"/>
  <c r="N15" i="134"/>
  <c r="C62" i="134"/>
  <c r="B55" i="128"/>
  <c r="B78" i="128"/>
  <c r="B46" i="135"/>
  <c r="B69" i="135"/>
  <c r="N16" i="128"/>
  <c r="C63" i="128"/>
  <c r="C40" i="128"/>
  <c r="N9" i="134"/>
  <c r="N6" i="128"/>
  <c r="C67" i="134"/>
  <c r="N20" i="134"/>
  <c r="C44" i="134"/>
  <c r="B44" i="134"/>
  <c r="B67" i="134"/>
  <c r="N5" i="128"/>
  <c r="N14" i="144"/>
  <c r="C38" i="144"/>
  <c r="C61" i="144"/>
  <c r="N27" i="144"/>
  <c r="C74" i="144"/>
  <c r="C51" i="144"/>
  <c r="C80" i="149"/>
  <c r="N33" i="149"/>
  <c r="C57" i="149"/>
  <c r="N24" i="138"/>
  <c r="C71" i="138"/>
  <c r="C48" i="138"/>
  <c r="C52" i="138"/>
  <c r="N28" i="138"/>
  <c r="C75" i="138"/>
  <c r="N18" i="143"/>
  <c r="C42" i="143"/>
  <c r="C65" i="143"/>
  <c r="N21" i="144"/>
  <c r="C68" i="144"/>
  <c r="C45" i="144"/>
  <c r="B67" i="140"/>
  <c r="B44" i="140"/>
  <c r="N24" i="144"/>
  <c r="C71" i="144"/>
  <c r="C48" i="144"/>
  <c r="C68" i="147"/>
  <c r="C45" i="147"/>
  <c r="N21" i="147"/>
  <c r="N25" i="149"/>
  <c r="C49" i="149"/>
  <c r="C72" i="149"/>
  <c r="B42" i="140"/>
  <c r="B65" i="140"/>
  <c r="B50" i="140"/>
  <c r="B73" i="140"/>
  <c r="B36" i="16"/>
  <c r="B62" i="16"/>
  <c r="B88" i="16"/>
  <c r="B49" i="20"/>
  <c r="B40" i="16"/>
  <c r="B66" i="16"/>
  <c r="B92" i="16"/>
  <c r="B53" i="20"/>
  <c r="C47" i="16"/>
  <c r="C73" i="16"/>
  <c r="C99" i="16"/>
  <c r="C60" i="20"/>
  <c r="C40" i="16"/>
  <c r="C66" i="16"/>
  <c r="C92" i="16"/>
  <c r="C53" i="20"/>
  <c r="C48" i="16"/>
  <c r="C74" i="16"/>
  <c r="C100" i="16"/>
  <c r="C61" i="20"/>
  <c r="C72" i="146"/>
  <c r="C49" i="146"/>
  <c r="N25" i="146"/>
  <c r="B71" i="145"/>
  <c r="B48" i="145"/>
  <c r="B46" i="139"/>
  <c r="B69" i="139"/>
  <c r="B49" i="137"/>
  <c r="B72" i="137"/>
  <c r="C79" i="136"/>
  <c r="C56" i="136"/>
  <c r="N32" i="136"/>
  <c r="N8" i="136"/>
  <c r="C68" i="135"/>
  <c r="N21" i="135"/>
  <c r="C45" i="135"/>
  <c r="N20" i="128"/>
  <c r="C67" i="128"/>
  <c r="C44" i="128"/>
  <c r="C69" i="134"/>
  <c r="C46" i="134"/>
  <c r="N22" i="134"/>
  <c r="N29" i="128"/>
  <c r="C76" i="128"/>
  <c r="C53" i="128"/>
  <c r="B47" i="134"/>
  <c r="B70" i="134"/>
  <c r="C49" i="128"/>
  <c r="N25" i="128"/>
  <c r="C72" i="128"/>
  <c r="C58" i="134"/>
  <c r="C81" i="134"/>
  <c r="N34" i="134"/>
  <c r="N10" i="134"/>
  <c r="N8" i="135"/>
  <c r="N5" i="134"/>
  <c r="N8" i="134"/>
  <c r="C70" i="147"/>
  <c r="N23" i="147"/>
  <c r="C47" i="147"/>
  <c r="N15" i="136"/>
  <c r="C62" i="136"/>
  <c r="C39" i="136"/>
  <c r="C39" i="140"/>
  <c r="C62" i="140"/>
  <c r="N15" i="140"/>
  <c r="C81" i="138"/>
  <c r="C58" i="138"/>
  <c r="N34" i="138"/>
  <c r="C40" i="150"/>
  <c r="C63" i="150"/>
  <c r="N16" i="150"/>
  <c r="B76" i="143"/>
  <c r="B53" i="143"/>
  <c r="C39" i="149"/>
  <c r="N15" i="149"/>
  <c r="C62" i="149"/>
  <c r="N18" i="137"/>
  <c r="C42" i="137"/>
  <c r="C65" i="137"/>
  <c r="C45" i="140"/>
  <c r="C68" i="140"/>
  <c r="N21" i="140"/>
  <c r="C51" i="143"/>
  <c r="N27" i="143"/>
  <c r="C74" i="143"/>
  <c r="B38" i="144"/>
  <c r="B61" i="144"/>
  <c r="B38" i="147"/>
  <c r="B61" i="147"/>
  <c r="B44" i="16"/>
  <c r="B70" i="16"/>
  <c r="B96" i="16"/>
  <c r="B57" i="20"/>
  <c r="B42" i="16"/>
  <c r="B68" i="16"/>
  <c r="B94" i="16"/>
  <c r="B55" i="20"/>
  <c r="C34" i="16"/>
  <c r="C60" i="16"/>
  <c r="C86" i="16"/>
  <c r="C47" i="20"/>
  <c r="C32" i="16"/>
  <c r="C58" i="16"/>
  <c r="C84" i="16"/>
  <c r="C45" i="20"/>
  <c r="C43" i="16"/>
  <c r="C69" i="16"/>
  <c r="C95" i="16"/>
  <c r="C56" i="20"/>
  <c r="N19" i="146"/>
  <c r="C66" i="146"/>
  <c r="C43" i="146"/>
  <c r="C69" i="144"/>
  <c r="N22" i="144"/>
  <c r="C46" i="144"/>
  <c r="C70" i="142"/>
  <c r="C47" i="142"/>
  <c r="N23" i="142"/>
  <c r="N23" i="140"/>
  <c r="C70" i="140"/>
  <c r="C47" i="140"/>
  <c r="B77" i="138"/>
  <c r="B54" i="138"/>
  <c r="B69" i="138"/>
  <c r="B46" i="138"/>
  <c r="N4" i="136"/>
  <c r="B38" i="128"/>
  <c r="B61" i="128"/>
  <c r="B54" i="128"/>
  <c r="B77" i="128"/>
  <c r="C75" i="134"/>
  <c r="C52" i="134"/>
  <c r="N28" i="134"/>
  <c r="B38" i="134"/>
  <c r="B61" i="134"/>
  <c r="C46" i="128"/>
  <c r="N22" i="128"/>
  <c r="C69" i="128"/>
  <c r="C71" i="135"/>
  <c r="N24" i="135"/>
  <c r="C48" i="135"/>
  <c r="B79" i="134"/>
  <c r="B56" i="134"/>
  <c r="B40" i="135"/>
  <c r="B63" i="135"/>
  <c r="N6" i="134"/>
  <c r="B47" i="128"/>
  <c r="B70" i="128"/>
  <c r="N21" i="128"/>
  <c r="C68" i="128"/>
  <c r="C45" i="128"/>
  <c r="B58" i="128"/>
  <c r="B81" i="128"/>
  <c r="N4" i="135"/>
  <c r="B51" i="134"/>
  <c r="B74" i="134"/>
  <c r="B50" i="128"/>
  <c r="B73" i="128"/>
  <c r="N4" i="134"/>
  <c r="B49" i="142"/>
  <c r="B72" i="142"/>
  <c r="N16" i="147"/>
  <c r="C40" i="147"/>
  <c r="C63" i="147"/>
  <c r="C64" i="138"/>
  <c r="N17" i="138"/>
  <c r="C41" i="138"/>
  <c r="B38" i="138"/>
  <c r="B61" i="138"/>
  <c r="B76" i="142"/>
  <c r="B53" i="142"/>
  <c r="C64" i="150"/>
  <c r="C41" i="150"/>
  <c r="N17" i="150"/>
  <c r="N32" i="138"/>
  <c r="C79" i="138"/>
  <c r="C56" i="138"/>
  <c r="C44" i="143"/>
  <c r="N20" i="143"/>
  <c r="C67" i="143"/>
  <c r="N30" i="143"/>
  <c r="C77" i="143"/>
  <c r="C54" i="143"/>
  <c r="C73" i="138"/>
  <c r="C50" i="138"/>
  <c r="N26" i="138"/>
  <c r="C38" i="140"/>
  <c r="C61" i="140"/>
  <c r="N14" i="140"/>
  <c r="B46" i="140"/>
  <c r="B69" i="140"/>
  <c r="B40" i="140"/>
  <c r="B63" i="140"/>
  <c r="B46" i="16"/>
  <c r="B72" i="16"/>
  <c r="B98" i="16"/>
  <c r="B59" i="20"/>
  <c r="B50" i="16"/>
  <c r="B76" i="16"/>
  <c r="B102" i="16"/>
  <c r="B63" i="20"/>
  <c r="C35" i="16"/>
  <c r="C61" i="16"/>
  <c r="C87" i="16"/>
  <c r="C48" i="20"/>
  <c r="C45" i="16"/>
  <c r="C71" i="16"/>
  <c r="C97" i="16"/>
  <c r="C58" i="20"/>
  <c r="B67" i="145"/>
  <c r="B44" i="145"/>
  <c r="N9" i="144"/>
  <c r="N17" i="142"/>
  <c r="C41" i="142"/>
  <c r="C64" i="142"/>
  <c r="N7" i="138"/>
  <c r="B75" i="136"/>
  <c r="B52" i="136"/>
  <c r="N33" i="134"/>
  <c r="C57" i="134"/>
  <c r="C80" i="134"/>
  <c r="C38" i="134"/>
  <c r="N14" i="134"/>
  <c r="C61" i="134"/>
  <c r="C74" i="134"/>
  <c r="C51" i="134"/>
  <c r="N27" i="134"/>
  <c r="N7" i="134"/>
  <c r="C63" i="134"/>
  <c r="C40" i="134"/>
  <c r="N16" i="134"/>
  <c r="N19" i="134"/>
  <c r="C66" i="134"/>
  <c r="C43" i="134"/>
  <c r="C55" i="128"/>
  <c r="C78" i="128"/>
  <c r="N31" i="128"/>
  <c r="B46" i="128"/>
  <c r="B69" i="128"/>
  <c r="C38" i="128"/>
  <c r="C61" i="128"/>
  <c r="N14" i="128"/>
  <c r="N9" i="135"/>
  <c r="B57" i="134"/>
  <c r="B80" i="134"/>
  <c r="C68" i="134"/>
  <c r="C45" i="134"/>
  <c r="N21" i="134"/>
  <c r="B76" i="128"/>
  <c r="B53" i="128"/>
  <c r="C71" i="143"/>
  <c r="C48" i="143"/>
  <c r="N24" i="143"/>
  <c r="C67" i="144"/>
  <c r="N20" i="144"/>
  <c r="C44" i="144"/>
  <c r="C79" i="137"/>
  <c r="N32" i="137"/>
  <c r="C56" i="137"/>
  <c r="N22" i="138"/>
  <c r="C46" i="138"/>
  <c r="C69" i="138"/>
  <c r="B39" i="140"/>
  <c r="B62" i="140"/>
  <c r="C64" i="147"/>
  <c r="N17" i="147"/>
  <c r="C41" i="147"/>
  <c r="C79" i="144"/>
  <c r="C56" i="144"/>
  <c r="N32" i="144"/>
  <c r="C75" i="147"/>
  <c r="C52" i="147"/>
  <c r="N28" i="147"/>
  <c r="C49" i="147"/>
  <c r="C72" i="147"/>
  <c r="N25" i="147"/>
  <c r="C68" i="150"/>
  <c r="C45" i="150"/>
  <c r="N21" i="150"/>
  <c r="B43" i="140"/>
  <c r="B66" i="140"/>
  <c r="B35" i="16"/>
  <c r="B61" i="16"/>
  <c r="B87" i="16"/>
  <c r="B48" i="20"/>
  <c r="B48" i="16"/>
  <c r="B74" i="16"/>
  <c r="B100" i="16"/>
  <c r="B61" i="20"/>
  <c r="B38" i="16"/>
  <c r="B64" i="16"/>
  <c r="B90" i="16"/>
  <c r="B51" i="20"/>
  <c r="C46" i="16"/>
  <c r="C72" i="16"/>
  <c r="C98" i="16"/>
  <c r="C59" i="20"/>
  <c r="C44" i="16"/>
  <c r="C70" i="16"/>
  <c r="C96" i="16"/>
  <c r="C57" i="20"/>
  <c r="C31" i="16"/>
  <c r="C57" i="16"/>
  <c r="C83" i="16"/>
  <c r="C44" i="20"/>
  <c r="C61" i="135"/>
  <c r="N14" i="135"/>
  <c r="C38" i="135"/>
  <c r="C70" i="146"/>
  <c r="N23" i="146"/>
  <c r="C47" i="146"/>
  <c r="N17" i="146"/>
  <c r="C64" i="146"/>
  <c r="C41" i="146"/>
  <c r="B62" i="145"/>
  <c r="B39" i="145"/>
  <c r="N5" i="144"/>
  <c r="C45" i="142"/>
  <c r="C68" i="142"/>
  <c r="N21" i="142"/>
  <c r="B81" i="140"/>
  <c r="B58" i="140"/>
  <c r="B64" i="140"/>
  <c r="B41" i="140"/>
  <c r="C44" i="139"/>
  <c r="C67" i="139"/>
  <c r="N20" i="139"/>
  <c r="B52" i="138"/>
  <c r="B75" i="138"/>
  <c r="N3" i="138"/>
  <c r="C63" i="137"/>
  <c r="C40" i="137"/>
  <c r="N16" i="137"/>
  <c r="C72" i="136"/>
  <c r="N25" i="136"/>
  <c r="C49" i="136"/>
  <c r="B61" i="135"/>
  <c r="B38" i="135"/>
  <c r="N15" i="135"/>
  <c r="C39" i="135"/>
  <c r="C62" i="135"/>
  <c r="C48" i="134"/>
  <c r="N24" i="134"/>
  <c r="C71" i="134"/>
  <c r="C48" i="128"/>
  <c r="N24" i="128"/>
  <c r="C71" i="128"/>
  <c r="C58" i="128"/>
  <c r="N34" i="128"/>
  <c r="C81" i="128"/>
  <c r="B74" i="128"/>
  <c r="B51" i="128"/>
  <c r="N15" i="128"/>
  <c r="C39" i="128"/>
  <c r="C62" i="128"/>
  <c r="C49" i="134"/>
  <c r="N25" i="134"/>
  <c r="C72" i="134"/>
  <c r="C55" i="134"/>
  <c r="N31" i="134"/>
  <c r="C78" i="134"/>
  <c r="C73" i="134"/>
  <c r="C50" i="134"/>
  <c r="N26" i="134"/>
  <c r="N3" i="134"/>
  <c r="N26" i="128"/>
  <c r="C50" i="128"/>
  <c r="C73" i="128"/>
  <c r="C43" i="128"/>
  <c r="C66" i="128"/>
  <c r="N19" i="128"/>
  <c r="C44" i="135"/>
  <c r="N20" i="135"/>
  <c r="C67" i="135"/>
  <c r="B76" i="134"/>
  <c r="B53" i="134"/>
  <c r="B78" i="134"/>
  <c r="B55" i="134"/>
  <c r="C54" i="134"/>
  <c r="C77" i="134"/>
  <c r="N30" i="134"/>
  <c r="B41" i="134"/>
  <c r="B64" i="134"/>
  <c r="C52" i="128"/>
  <c r="N28" i="128"/>
  <c r="C75" i="128"/>
  <c r="B43" i="128"/>
  <c r="B66" i="128"/>
  <c r="N22" i="135"/>
  <c r="C69" i="135"/>
  <c r="C46" i="135"/>
  <c r="N5" i="135"/>
  <c r="C56" i="134"/>
  <c r="N32" i="134"/>
  <c r="C79" i="134"/>
  <c r="B43" i="134"/>
  <c r="B66" i="134"/>
  <c r="B72" i="128"/>
  <c r="B49" i="128"/>
  <c r="C77" i="128"/>
  <c r="N30" i="128"/>
  <c r="C54" i="128"/>
  <c r="B64" i="128"/>
  <c r="B41" i="128"/>
  <c r="C74" i="128"/>
  <c r="N27" i="128"/>
  <c r="C51" i="128"/>
  <c r="C65" i="134"/>
  <c r="C42" i="134"/>
  <c r="N18" i="134"/>
  <c r="N18" i="128"/>
  <c r="C65" i="128"/>
  <c r="C42" i="128"/>
  <c r="C53" i="134"/>
  <c r="C76" i="134"/>
  <c r="N29" i="134"/>
  <c r="B42" i="128"/>
  <c r="B65" i="128"/>
  <c r="B68" i="128"/>
  <c r="B45" i="128"/>
  <c r="B38" i="143"/>
  <c r="B61" i="143"/>
  <c r="N28" i="143"/>
  <c r="C75" i="143"/>
  <c r="C52" i="143"/>
  <c r="N14" i="145"/>
  <c r="C61" i="145"/>
  <c r="C38" i="145"/>
  <c r="C67" i="147"/>
  <c r="C44" i="147"/>
  <c r="N20" i="147"/>
  <c r="C65" i="147"/>
  <c r="C42" i="147"/>
  <c r="N18" i="147"/>
  <c r="C38" i="137"/>
  <c r="C61" i="137"/>
  <c r="N14" i="137"/>
  <c r="N21" i="138"/>
  <c r="C45" i="138"/>
  <c r="C68" i="138"/>
  <c r="C51" i="138"/>
  <c r="N27" i="138"/>
  <c r="C74" i="138"/>
  <c r="N23" i="138"/>
  <c r="C70" i="138"/>
  <c r="C47" i="138"/>
  <c r="C38" i="138"/>
  <c r="C61" i="138"/>
  <c r="N14" i="138"/>
  <c r="B42" i="143"/>
  <c r="B65" i="143"/>
  <c r="C80" i="144"/>
  <c r="C57" i="144"/>
  <c r="N33" i="144"/>
  <c r="N27" i="149"/>
  <c r="C74" i="149"/>
  <c r="C51" i="149"/>
  <c r="C49" i="138"/>
  <c r="N25" i="138"/>
  <c r="C72" i="138"/>
  <c r="C48" i="147"/>
  <c r="N24" i="147"/>
  <c r="C71" i="147"/>
  <c r="C38" i="149"/>
  <c r="N14" i="149"/>
  <c r="C61" i="149"/>
  <c r="B39" i="149"/>
  <c r="B62" i="149"/>
  <c r="B39" i="138"/>
  <c r="B62" i="138"/>
  <c r="N34" i="143"/>
  <c r="C58" i="143"/>
  <c r="C81" i="143"/>
  <c r="C43" i="143"/>
  <c r="N19" i="143"/>
  <c r="C66" i="143"/>
  <c r="C69" i="150"/>
  <c r="N22" i="150"/>
  <c r="C46" i="150"/>
  <c r="C38" i="136"/>
  <c r="N14" i="136"/>
  <c r="C61" i="136"/>
  <c r="N22" i="147"/>
  <c r="C69" i="147"/>
  <c r="C46" i="147"/>
  <c r="B62" i="150"/>
  <c r="B39" i="150"/>
  <c r="C42" i="138"/>
  <c r="N18" i="138"/>
  <c r="C65" i="138"/>
  <c r="C78" i="138"/>
  <c r="N31" i="138"/>
  <c r="C55" i="138"/>
  <c r="C56" i="143"/>
  <c r="N32" i="143"/>
  <c r="C79" i="143"/>
  <c r="C76" i="144"/>
  <c r="C53" i="144"/>
  <c r="N29" i="144"/>
  <c r="C50" i="147"/>
  <c r="N26" i="147"/>
  <c r="C73" i="147"/>
  <c r="C80" i="138"/>
  <c r="N33" i="138"/>
  <c r="C57" i="138"/>
  <c r="B68" i="143"/>
  <c r="B45" i="143"/>
  <c r="C79" i="149"/>
  <c r="N32" i="149"/>
  <c r="C56" i="149"/>
  <c r="B68" i="140"/>
  <c r="B45" i="140"/>
  <c r="B43" i="16"/>
  <c r="B69" i="16"/>
  <c r="B95" i="16"/>
  <c r="B56" i="20"/>
  <c r="B49" i="16"/>
  <c r="B75" i="16"/>
  <c r="B101" i="16"/>
  <c r="B62" i="20"/>
  <c r="B32" i="16"/>
  <c r="B58" i="16"/>
  <c r="B84" i="16"/>
  <c r="B45" i="20"/>
  <c r="C49" i="16"/>
  <c r="C75" i="16"/>
  <c r="C101" i="16"/>
  <c r="C62" i="20"/>
  <c r="C39" i="16"/>
  <c r="C65" i="16"/>
  <c r="C91" i="16"/>
  <c r="C52" i="20"/>
  <c r="C42" i="16"/>
  <c r="C68" i="16"/>
  <c r="C94" i="16"/>
  <c r="C55" i="20"/>
  <c r="N7" i="127"/>
  <c r="N8" i="127"/>
  <c r="B64" i="127"/>
  <c r="B41" i="127"/>
  <c r="B45" i="127"/>
  <c r="B68" i="127"/>
  <c r="B49" i="127"/>
  <c r="B72" i="127"/>
  <c r="B76" i="127"/>
  <c r="B53" i="127"/>
  <c r="B57" i="127"/>
  <c r="B80" i="127"/>
  <c r="N9" i="127"/>
  <c r="N17" i="127"/>
  <c r="C41" i="127"/>
  <c r="C64" i="127"/>
  <c r="C45" i="127"/>
  <c r="N21" i="127"/>
  <c r="C68" i="127"/>
  <c r="C49" i="127"/>
  <c r="C72" i="127"/>
  <c r="N25" i="127"/>
  <c r="N29" i="127"/>
  <c r="C53" i="127"/>
  <c r="C76" i="127"/>
  <c r="N33" i="127"/>
  <c r="C57" i="127"/>
  <c r="C80" i="127"/>
  <c r="N10" i="127"/>
  <c r="B38" i="127"/>
  <c r="B61" i="127"/>
  <c r="B65" i="127"/>
  <c r="B42" i="127"/>
  <c r="B69" i="127"/>
  <c r="B46" i="127"/>
  <c r="B73" i="127"/>
  <c r="B50" i="127"/>
  <c r="B54" i="127"/>
  <c r="B77" i="127"/>
  <c r="B58" i="127"/>
  <c r="B81" i="127"/>
  <c r="N3" i="127"/>
  <c r="C38" i="127"/>
  <c r="C61" i="127"/>
  <c r="N14" i="127"/>
  <c r="C42" i="127"/>
  <c r="N18" i="127"/>
  <c r="C65" i="127"/>
  <c r="N22" i="127"/>
  <c r="C46" i="127"/>
  <c r="C69" i="127"/>
  <c r="C50" i="127"/>
  <c r="C73" i="127"/>
  <c r="N26" i="127"/>
  <c r="C77" i="127"/>
  <c r="C54" i="127"/>
  <c r="N30" i="127"/>
  <c r="C58" i="127"/>
  <c r="N34" i="127"/>
  <c r="C81" i="127"/>
  <c r="N4" i="127"/>
  <c r="B39" i="127"/>
  <c r="B62" i="127"/>
  <c r="B66" i="127"/>
  <c r="B43" i="127"/>
  <c r="B47" i="127"/>
  <c r="B70" i="127"/>
  <c r="B51" i="127"/>
  <c r="B74" i="127"/>
  <c r="B78" i="127"/>
  <c r="B55" i="127"/>
  <c r="N5" i="127"/>
  <c r="C62" i="127"/>
  <c r="N15" i="127"/>
  <c r="C39" i="127"/>
  <c r="C66" i="127"/>
  <c r="N19" i="127"/>
  <c r="C43" i="127"/>
  <c r="N23" i="127"/>
  <c r="C47" i="127"/>
  <c r="C70" i="127"/>
  <c r="N27" i="127"/>
  <c r="C51" i="127"/>
  <c r="C74" i="127"/>
  <c r="C78" i="127"/>
  <c r="C55" i="127"/>
  <c r="N31" i="127"/>
  <c r="N6" i="127"/>
  <c r="B40" i="127"/>
  <c r="B63" i="127"/>
  <c r="B67" i="127"/>
  <c r="B44" i="127"/>
  <c r="B71" i="127"/>
  <c r="B48" i="127"/>
  <c r="B52" i="127"/>
  <c r="B75" i="127"/>
  <c r="B79" i="127"/>
  <c r="B56" i="127"/>
  <c r="C63" i="127"/>
  <c r="N16" i="127"/>
  <c r="C40" i="127"/>
  <c r="N20" i="127"/>
  <c r="C44" i="127"/>
  <c r="C67" i="127"/>
  <c r="N24" i="127"/>
  <c r="C48" i="127"/>
  <c r="C71" i="127"/>
  <c r="C52" i="127"/>
  <c r="N28" i="127"/>
  <c r="C75" i="127"/>
  <c r="C79" i="127"/>
  <c r="C56" i="127"/>
  <c r="N32" i="127"/>
</calcChain>
</file>

<file path=xl/sharedStrings.xml><?xml version="1.0" encoding="utf-8"?>
<sst xmlns="http://schemas.openxmlformats.org/spreadsheetml/2006/main" count="804" uniqueCount="79">
  <si>
    <t>S1</t>
  </si>
  <si>
    <t>S2</t>
  </si>
  <si>
    <t>S3</t>
  </si>
  <si>
    <t>S4</t>
  </si>
  <si>
    <t>S5</t>
  </si>
  <si>
    <t>S6</t>
  </si>
  <si>
    <t>S7</t>
  </si>
  <si>
    <t>S8</t>
  </si>
  <si>
    <t>S9</t>
  </si>
  <si>
    <t>S10</t>
  </si>
  <si>
    <t>S11</t>
  </si>
  <si>
    <t>S12</t>
  </si>
  <si>
    <t>S13</t>
  </si>
  <si>
    <t>S14</t>
  </si>
  <si>
    <t>S15</t>
  </si>
  <si>
    <t>S16</t>
  </si>
  <si>
    <t>S17</t>
  </si>
  <si>
    <t>S18</t>
  </si>
  <si>
    <t>S19</t>
  </si>
  <si>
    <t>S20</t>
  </si>
  <si>
    <t>total</t>
  </si>
  <si>
    <t>%</t>
  </si>
  <si>
    <t>intra</t>
  </si>
  <si>
    <t>error</t>
  </si>
  <si>
    <t>ICC</t>
  </si>
  <si>
    <t>kg</t>
  </si>
  <si>
    <t>cm</t>
  </si>
  <si>
    <t>mm</t>
  </si>
  <si>
    <t xml:space="preserve">inter </t>
  </si>
  <si>
    <t>1ª Vs 2ª</t>
  </si>
  <si>
    <t>1ªVs 3ª</t>
  </si>
  <si>
    <t>2ª Vs 3ª</t>
  </si>
  <si>
    <t>TOTAL</t>
  </si>
  <si>
    <t>TOTAL (%)</t>
  </si>
  <si>
    <t>kg/m2</t>
  </si>
  <si>
    <t>Select your language in the drop-down in the green area
Seleccione su idioma en el desplegable del área verde</t>
  </si>
  <si>
    <t>1)</t>
  </si>
  <si>
    <t>2)</t>
  </si>
  <si>
    <t>3)</t>
  </si>
  <si>
    <t>4)</t>
  </si>
  <si>
    <t>5)</t>
  </si>
  <si>
    <t>6)</t>
  </si>
  <si>
    <t>7)</t>
  </si>
  <si>
    <t>8)</t>
  </si>
  <si>
    <t>-</t>
  </si>
  <si>
    <t>Suma</t>
  </si>
  <si>
    <t>X</t>
  </si>
  <si>
    <t>Y</t>
  </si>
  <si>
    <t xml:space="preserve">mm </t>
  </si>
  <si>
    <t>Version: 2022.2.3</t>
  </si>
  <si>
    <t>Español / Spanish</t>
  </si>
  <si>
    <t>26.5</t>
  </si>
  <si>
    <t>74.8</t>
  </si>
  <si>
    <t>94.5</t>
  </si>
  <si>
    <t>47.5</t>
  </si>
  <si>
    <t>32.4</t>
  </si>
  <si>
    <t>78.8</t>
  </si>
  <si>
    <t>5.7</t>
  </si>
  <si>
    <t>5.8</t>
  </si>
  <si>
    <t>5.1</t>
  </si>
  <si>
    <t>8.3</t>
  </si>
  <si>
    <t>Jessenia Patricia</t>
  </si>
  <si>
    <t>Harro Párraga</t>
  </si>
  <si>
    <t>Ecuador</t>
  </si>
  <si>
    <t>Baloncesto</t>
  </si>
  <si>
    <t>Nataly Verónica</t>
  </si>
  <si>
    <t>Tobay Luna</t>
  </si>
  <si>
    <t>Gimnasio</t>
  </si>
  <si>
    <t>Cintya Belen</t>
  </si>
  <si>
    <t>Moreno Tapia</t>
  </si>
  <si>
    <t>Natación</t>
  </si>
  <si>
    <t xml:space="preserve">Yajaira </t>
  </si>
  <si>
    <t>Buenaño</t>
  </si>
  <si>
    <t>Fútbol</t>
  </si>
  <si>
    <t>83.5</t>
  </si>
  <si>
    <t>165.5</t>
  </si>
  <si>
    <t>37.5</t>
  </si>
  <si>
    <t>5.5</t>
  </si>
  <si>
    <t>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</si>
</sst>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00"/>
    <numFmt numFmtId="166" formatCode="mmmm\ d\,\ yyyy"/>
    <numFmt numFmtId="167" formatCode="dd/mm/yyyy;@"/>
    <numFmt numFmtId="168" formatCode="0.00\ &quot;kg&quot;"/>
  </numFmts>
  <fonts count="20" x14ac:knownFonts="1">
    <font>
      <sz val="10"/>
      <name val="Arial"/>
    </font>
    <font>
      <sz val="10"/>
      <name val="Arial"/>
      <family val="2"/>
    </font>
    <font>
      <b/>
      <sz val="10"/>
      <name val="Arial"/>
      <family val="2"/>
    </font>
    <font>
      <b/>
      <sz val="12"/>
      <name val="Arial"/>
      <family val="2"/>
    </font>
    <font>
      <sz val="8"/>
      <name val="Arial"/>
      <family val="2"/>
    </font>
    <font>
      <b/>
      <sz val="9"/>
      <name val="Arial"/>
      <family val="2"/>
    </font>
    <font>
      <sz val="9"/>
      <name val="Arial"/>
      <family val="2"/>
    </font>
    <font>
      <sz val="8"/>
      <name val="Arial"/>
      <family val="2"/>
    </font>
    <font>
      <sz val="10"/>
      <color theme="0"/>
      <name val="Arial"/>
      <family val="2"/>
    </font>
    <font>
      <b/>
      <sz val="15"/>
      <name val="Arial"/>
      <family val="2"/>
    </font>
    <font>
      <sz val="12"/>
      <name val="Arial"/>
      <family val="2"/>
    </font>
    <font>
      <sz val="30"/>
      <name val="Arial"/>
      <family val="2"/>
    </font>
    <font>
      <b/>
      <sz val="18"/>
      <name val="Arial"/>
      <family val="2"/>
    </font>
    <font>
      <b/>
      <sz val="20"/>
      <name val="Arial"/>
      <family val="2"/>
    </font>
    <font>
      <sz val="30"/>
      <color theme="0"/>
      <name val="Arial"/>
      <family val="2"/>
    </font>
    <font>
      <sz val="18"/>
      <name val="Arial"/>
      <family val="2"/>
    </font>
    <font>
      <b/>
      <sz val="16"/>
      <name val="Arial"/>
      <family val="2"/>
    </font>
    <font>
      <b/>
      <sz val="10"/>
      <color theme="6"/>
      <name val="Arial"/>
      <family val="2"/>
    </font>
    <font>
      <sz val="10"/>
      <color theme="6"/>
      <name val="Arial"/>
      <family val="2"/>
    </font>
    <font>
      <b/>
      <sz val="11"/>
      <color theme="6"/>
      <name val="Arial"/>
      <family val="2"/>
    </font>
  </fonts>
  <fills count="6">
    <fill>
      <patternFill patternType="none"/>
    </fill>
    <fill>
      <patternFill patternType="gray125"/>
    </fill>
    <fill>
      <patternFill patternType="solid">
        <fgColor theme="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4"/>
        <bgColor indexed="64"/>
      </patternFill>
    </fill>
  </fills>
  <borders count="56">
    <border>
      <left/>
      <right/>
      <top/>
      <bottom/>
      <diagonal/>
    </border>
    <border>
      <left/>
      <right/>
      <top/>
      <bottom style="thin">
        <color indexed="64"/>
      </bottom>
      <diagonal/>
    </border>
    <border>
      <left/>
      <right style="thin">
        <color indexed="64"/>
      </right>
      <top/>
      <bottom/>
      <diagonal/>
    </border>
    <border>
      <left style="medium">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style="medium">
        <color theme="0" tint="-0.499984740745262"/>
      </bottom>
      <diagonal/>
    </border>
    <border>
      <left style="thin">
        <color theme="0" tint="-0.499984740745262"/>
      </left>
      <right style="medium">
        <color theme="0" tint="-0.499984740745262"/>
      </right>
      <top style="medium">
        <color theme="0" tint="-0.499984740745262"/>
      </top>
      <bottom style="medium">
        <color theme="0" tint="-0.499984740745262"/>
      </bottom>
      <diagonal/>
    </border>
    <border>
      <left style="medium">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style="medium">
        <color theme="0" tint="-0.499984740745262"/>
      </right>
      <top style="thin">
        <color theme="0" tint="-0.499984740745262"/>
      </top>
      <bottom/>
      <diagonal/>
    </border>
    <border>
      <left style="medium">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medium">
        <color theme="0" tint="-0.499984740745262"/>
      </right>
      <top style="thin">
        <color theme="0" tint="-0.499984740745262"/>
      </top>
      <bottom style="medium">
        <color theme="0" tint="-0.499984740745262"/>
      </bottom>
      <diagonal/>
    </border>
    <border>
      <left style="medium">
        <color theme="0" tint="-0.499984740745262"/>
      </left>
      <right/>
      <top style="medium">
        <color theme="0" tint="-0.499984740745262"/>
      </top>
      <bottom style="thin">
        <color theme="0" tint="-0.499984740745262"/>
      </bottom>
      <diagonal/>
    </border>
    <border>
      <left style="medium">
        <color theme="0" tint="-0.499984740745262"/>
      </left>
      <right/>
      <top style="thin">
        <color theme="0" tint="-0.499984740745262"/>
      </top>
      <bottom style="thin">
        <color theme="0" tint="-0.499984740745262"/>
      </bottom>
      <diagonal/>
    </border>
    <border>
      <left/>
      <right style="medium">
        <color theme="0" tint="-0.499984740745262"/>
      </right>
      <top/>
      <bottom style="medium">
        <color theme="0" tint="-0.499984740745262"/>
      </bottom>
      <diagonal/>
    </border>
    <border>
      <left/>
      <right style="medium">
        <color theme="0" tint="-0.499984740745262"/>
      </right>
      <top/>
      <bottom/>
      <diagonal/>
    </border>
    <border>
      <left style="medium">
        <color theme="0" tint="-0.499984740745262"/>
      </left>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thin">
        <color theme="0" tint="-0.499984740745262"/>
      </bottom>
      <diagonal/>
    </border>
    <border>
      <left/>
      <right style="medium">
        <color theme="0" tint="-0.499984740745262"/>
      </right>
      <top style="thin">
        <color theme="0" tint="-0.499984740745262"/>
      </top>
      <bottom style="medium">
        <color theme="0" tint="-0.499984740745262"/>
      </bottom>
      <diagonal/>
    </border>
    <border>
      <left/>
      <right style="medium">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medium">
        <color theme="0" tint="-0.499984740745262"/>
      </top>
      <bottom style="medium">
        <color theme="0" tint="-0.499984740745262"/>
      </bottom>
      <diagonal/>
    </border>
    <border>
      <left/>
      <right/>
      <top style="medium">
        <color theme="0" tint="-0.499984740745262"/>
      </top>
      <bottom/>
      <diagonal/>
    </border>
    <border>
      <left style="medium">
        <color theme="0" tint="-0.499984740745262"/>
      </left>
      <right/>
      <top style="medium">
        <color theme="0" tint="-0.499984740745262"/>
      </top>
      <bottom style="medium">
        <color theme="0" tint="-0.499984740745262"/>
      </bottom>
      <diagonal/>
    </border>
    <border>
      <left style="thick">
        <color theme="0" tint="-0.499984740745262"/>
      </left>
      <right/>
      <top style="thick">
        <color theme="0" tint="-0.499984740745262"/>
      </top>
      <bottom/>
      <diagonal/>
    </border>
    <border>
      <left/>
      <right/>
      <top style="thick">
        <color theme="0" tint="-0.499984740745262"/>
      </top>
      <bottom/>
      <diagonal/>
    </border>
    <border>
      <left/>
      <right style="thick">
        <color theme="0" tint="-0.499984740745262"/>
      </right>
      <top style="thick">
        <color theme="0" tint="-0.499984740745262"/>
      </top>
      <bottom/>
      <diagonal/>
    </border>
    <border>
      <left style="thick">
        <color theme="0" tint="-0.499984740745262"/>
      </left>
      <right/>
      <top/>
      <bottom/>
      <diagonal/>
    </border>
    <border>
      <left/>
      <right style="thick">
        <color theme="0" tint="-0.499984740745262"/>
      </right>
      <top/>
      <bottom/>
      <diagonal/>
    </border>
    <border>
      <left style="medium">
        <color theme="0" tint="-0.499984740745262"/>
      </left>
      <right/>
      <top/>
      <bottom style="thin">
        <color theme="0" tint="-0.499984740745262"/>
      </bottom>
      <diagonal/>
    </border>
    <border>
      <left style="medium">
        <color theme="0" tint="-0.499984740745262"/>
      </left>
      <right style="thin">
        <color theme="0" tint="-0.499984740745262"/>
      </right>
      <top/>
      <bottom style="thin">
        <color theme="0" tint="-0.499984740745262"/>
      </bottom>
      <diagonal/>
    </border>
    <border>
      <left style="thin">
        <color theme="0" tint="-0.499984740745262"/>
      </left>
      <right style="medium">
        <color theme="0" tint="-0.499984740745262"/>
      </right>
      <top/>
      <bottom style="thin">
        <color theme="0" tint="-0.499984740745262"/>
      </bottom>
      <diagonal/>
    </border>
    <border>
      <left/>
      <right style="medium">
        <color theme="0" tint="-0.499984740745262"/>
      </right>
      <top style="medium">
        <color theme="0" tint="-0.499984740745262"/>
      </top>
      <bottom style="medium">
        <color theme="0" tint="-0.499984740745262"/>
      </bottom>
      <diagonal/>
    </border>
    <border>
      <left style="medium">
        <color theme="0" tint="-0.499984740745262"/>
      </left>
      <right style="thin">
        <color theme="0" tint="-0.499984740745262"/>
      </right>
      <top style="medium">
        <color theme="0" tint="-0.499984740745262"/>
      </top>
      <bottom/>
      <diagonal/>
    </border>
    <border>
      <left style="thin">
        <color theme="0" tint="-0.499984740745262"/>
      </left>
      <right style="thin">
        <color theme="0" tint="-0.499984740745262"/>
      </right>
      <top style="medium">
        <color theme="0" tint="-0.499984740745262"/>
      </top>
      <bottom/>
      <diagonal/>
    </border>
    <border>
      <left style="thin">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thin">
        <color theme="0" tint="-0.499984740745262"/>
      </bottom>
      <diagonal/>
    </border>
    <border>
      <left/>
      <right/>
      <top style="thin">
        <color theme="0" tint="-0.499984740745262"/>
      </top>
      <bottom style="medium">
        <color theme="0" tint="-0.499984740745262"/>
      </bottom>
      <diagonal/>
    </border>
    <border>
      <left/>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medium">
        <color theme="0" tint="-0.499984740745262"/>
      </right>
      <top style="thin">
        <color theme="0" tint="-0.499984740745262"/>
      </top>
      <bottom/>
      <diagonal/>
    </border>
    <border>
      <left style="medium">
        <color theme="0" tint="-0.499984740745262"/>
      </left>
      <right/>
      <top style="thin">
        <color theme="0" tint="-0.499984740745262"/>
      </top>
      <bottom/>
      <diagonal/>
    </border>
    <border>
      <left/>
      <right style="medium">
        <color theme="0" tint="-0.499984740745262"/>
      </right>
      <top style="thin">
        <color theme="0" tint="-0.499984740745262"/>
      </top>
      <bottom/>
      <diagonal/>
    </border>
    <border>
      <left style="medium">
        <color theme="0" tint="-0.499984740745262"/>
      </left>
      <right/>
      <top/>
      <bottom/>
      <diagonal/>
    </border>
    <border>
      <left style="thick">
        <color theme="0" tint="-0.499984740745262"/>
      </left>
      <right/>
      <top/>
      <bottom style="thick">
        <color theme="0" tint="-0.499984740745262"/>
      </bottom>
      <diagonal/>
    </border>
    <border>
      <left/>
      <right/>
      <top/>
      <bottom style="thick">
        <color theme="0" tint="-0.499984740745262"/>
      </bottom>
      <diagonal/>
    </border>
    <border>
      <left/>
      <right style="thick">
        <color theme="0" tint="-0.499984740745262"/>
      </right>
      <top/>
      <bottom style="thick">
        <color theme="0" tint="-0.499984740745262"/>
      </bottom>
      <diagonal/>
    </border>
  </borders>
  <cellStyleXfs count="1">
    <xf numFmtId="0" fontId="0" fillId="0" borderId="0"/>
  </cellStyleXfs>
  <cellXfs count="306">
    <xf numFmtId="0" fontId="0" fillId="0" borderId="0" xfId="0"/>
    <xf numFmtId="0" fontId="1" fillId="0" borderId="0" xfId="0" applyFont="1" applyAlignment="1">
      <alignment horizontal="center" vertical="top"/>
    </xf>
    <xf numFmtId="0" fontId="1" fillId="0" borderId="0" xfId="0" applyFont="1" applyAlignment="1">
      <alignment horizontal="center" vertical="center"/>
    </xf>
    <xf numFmtId="0" fontId="10" fillId="0" borderId="0" xfId="0" applyFont="1" applyAlignment="1">
      <alignment horizontal="center" vertical="center" wrapText="1"/>
    </xf>
    <xf numFmtId="0" fontId="12" fillId="0" borderId="0" xfId="0" applyFont="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0" fillId="0" borderId="0" xfId="0" applyFont="1" applyAlignment="1">
      <alignment vertical="center" wrapText="1"/>
    </xf>
    <xf numFmtId="0" fontId="1" fillId="0" borderId="0" xfId="0" applyFont="1" applyAlignment="1">
      <alignment horizontal="center" vertical="center" shrinkToFit="1"/>
    </xf>
    <xf numFmtId="0" fontId="3" fillId="0" borderId="0" xfId="0" applyFont="1" applyAlignment="1">
      <alignment horizontal="left" vertical="center" shrinkToFit="1"/>
    </xf>
    <xf numFmtId="0" fontId="10" fillId="0" borderId="0" xfId="0" applyFont="1" applyAlignment="1">
      <alignment horizontal="left" vertical="center" shrinkToFit="1"/>
    </xf>
    <xf numFmtId="0" fontId="10" fillId="0" borderId="0" xfId="0" applyFont="1" applyAlignment="1">
      <alignment horizontal="left" vertical="top" wrapText="1"/>
    </xf>
    <xf numFmtId="0" fontId="10" fillId="0" borderId="0" xfId="0" applyFont="1" applyAlignment="1">
      <alignment horizontal="left" vertical="top"/>
    </xf>
    <xf numFmtId="0" fontId="10" fillId="0" borderId="0" xfId="0" applyFont="1" applyAlignment="1">
      <alignment horizontal="center" vertical="top"/>
    </xf>
    <xf numFmtId="0" fontId="1"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1" fillId="0" borderId="0" xfId="0" applyFont="1" applyAlignment="1">
      <alignment horizontal="left" vertical="center" shrinkToFit="1"/>
    </xf>
    <xf numFmtId="164" fontId="1" fillId="0" borderId="0" xfId="0" applyNumberFormat="1" applyFont="1" applyAlignment="1">
      <alignment horizontal="center" vertical="center" shrinkToFit="1"/>
    </xf>
    <xf numFmtId="0" fontId="1" fillId="0" borderId="20" xfId="0" applyFont="1" applyBorder="1" applyAlignment="1">
      <alignment horizontal="left" vertical="center" shrinkToFit="1"/>
    </xf>
    <xf numFmtId="0" fontId="2" fillId="0" borderId="19" xfId="0" applyFont="1" applyBorder="1" applyAlignment="1">
      <alignment horizontal="left" vertical="center" shrinkToFit="1"/>
    </xf>
    <xf numFmtId="164" fontId="2" fillId="0" borderId="15" xfId="0" applyNumberFormat="1" applyFont="1" applyBorder="1" applyAlignment="1">
      <alignment horizontal="center" vertical="center" shrinkToFit="1"/>
    </xf>
    <xf numFmtId="164" fontId="2" fillId="0" borderId="16" xfId="0" applyNumberFormat="1" applyFont="1" applyBorder="1" applyAlignment="1">
      <alignment horizontal="center" vertical="center" shrinkToFit="1"/>
    </xf>
    <xf numFmtId="0" fontId="2" fillId="0" borderId="6" xfId="0" applyFont="1" applyBorder="1" applyAlignment="1">
      <alignment horizontal="center" vertical="center" shrinkToFit="1"/>
    </xf>
    <xf numFmtId="164" fontId="1" fillId="0" borderId="11" xfId="0" applyNumberFormat="1" applyFont="1" applyBorder="1" applyAlignment="1">
      <alignment horizontal="center" vertical="center" shrinkToFit="1"/>
    </xf>
    <xf numFmtId="164" fontId="1" fillId="0" borderId="13" xfId="0" applyNumberFormat="1" applyFont="1" applyBorder="1" applyAlignment="1">
      <alignment horizontal="center" vertical="center" shrinkToFit="1"/>
    </xf>
    <xf numFmtId="0" fontId="2" fillId="0" borderId="7" xfId="0" applyFont="1" applyBorder="1" applyAlignment="1">
      <alignment horizontal="center" vertical="center" shrinkToFit="1"/>
    </xf>
    <xf numFmtId="164" fontId="1" fillId="0" borderId="15" xfId="0" applyNumberFormat="1" applyFont="1" applyBorder="1" applyAlignment="1">
      <alignment horizontal="center" vertical="center" shrinkToFit="1"/>
    </xf>
    <xf numFmtId="164" fontId="2" fillId="0" borderId="6" xfId="0" applyNumberFormat="1" applyFont="1" applyBorder="1" applyAlignment="1">
      <alignment horizontal="center" vertical="center" shrinkToFit="1"/>
    </xf>
    <xf numFmtId="164" fontId="2" fillId="0" borderId="0" xfId="0" applyNumberFormat="1" applyFont="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Alignment="1">
      <alignment horizontal="left" vertical="center" shrinkToFit="1"/>
    </xf>
    <xf numFmtId="164" fontId="2" fillId="0" borderId="7" xfId="0" applyNumberFormat="1"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16"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6" xfId="0" applyFont="1" applyBorder="1" applyAlignment="1">
      <alignment horizontal="left" vertical="center" shrinkToFit="1"/>
    </xf>
    <xf numFmtId="164" fontId="1" fillId="0" borderId="6" xfId="0" applyNumberFormat="1" applyFont="1" applyBorder="1" applyAlignment="1">
      <alignment horizontal="center" vertical="center" shrinkToFit="1"/>
    </xf>
    <xf numFmtId="0" fontId="1" fillId="0" borderId="2" xfId="0" applyFont="1" applyBorder="1" applyAlignment="1">
      <alignment horizontal="center" vertical="center" shrinkToFit="1"/>
    </xf>
    <xf numFmtId="0" fontId="1" fillId="0" borderId="10" xfId="0" applyFont="1" applyBorder="1" applyAlignment="1">
      <alignment horizontal="center" vertical="center" shrinkToFit="1"/>
    </xf>
    <xf numFmtId="0" fontId="1" fillId="0" borderId="10" xfId="0" applyFont="1" applyBorder="1" applyAlignment="1">
      <alignment horizontal="left" vertical="center" shrinkToFit="1"/>
    </xf>
    <xf numFmtId="164" fontId="1" fillId="0" borderId="10" xfId="0" applyNumberFormat="1" applyFont="1" applyBorder="1" applyAlignment="1">
      <alignment horizontal="center" vertical="center" shrinkToFit="1"/>
    </xf>
    <xf numFmtId="0" fontId="1" fillId="0" borderId="7" xfId="0" applyFont="1" applyBorder="1" applyAlignment="1">
      <alignment horizontal="center" vertical="center" shrinkToFit="1"/>
    </xf>
    <xf numFmtId="0" fontId="1" fillId="0" borderId="7" xfId="0" applyFont="1" applyBorder="1" applyAlignment="1">
      <alignment horizontal="left" vertical="center" shrinkToFit="1"/>
    </xf>
    <xf numFmtId="164" fontId="1" fillId="0" borderId="7" xfId="0" applyNumberFormat="1" applyFont="1" applyBorder="1" applyAlignment="1">
      <alignment horizontal="center" vertical="center" shrinkToFit="1"/>
    </xf>
    <xf numFmtId="0" fontId="1" fillId="0" borderId="17" xfId="0" applyFont="1" applyBorder="1" applyAlignment="1">
      <alignment horizontal="left" vertical="center" shrinkToFit="1"/>
    </xf>
    <xf numFmtId="0" fontId="1" fillId="0" borderId="18" xfId="0" applyFont="1" applyBorder="1" applyAlignment="1">
      <alignment horizontal="left" vertical="center" shrinkToFit="1"/>
    </xf>
    <xf numFmtId="0" fontId="1" fillId="0" borderId="21" xfId="0" applyFont="1" applyBorder="1" applyAlignment="1">
      <alignment horizontal="left" vertical="center" shrinkToFit="1"/>
    </xf>
    <xf numFmtId="0" fontId="1" fillId="0" borderId="0" xfId="0" applyFont="1"/>
    <xf numFmtId="164" fontId="5" fillId="0" borderId="0" xfId="0" applyNumberFormat="1" applyFont="1" applyAlignment="1">
      <alignment horizontal="center" vertical="center" shrinkToFit="1"/>
    </xf>
    <xf numFmtId="0" fontId="1" fillId="0" borderId="0" xfId="0" applyFont="1" applyAlignment="1">
      <alignment vertical="center" shrinkToFit="1"/>
    </xf>
    <xf numFmtId="2" fontId="1" fillId="0" borderId="0" xfId="0" applyNumberFormat="1" applyFont="1" applyAlignment="1">
      <alignment horizontal="center" vertical="center" shrinkToFit="1"/>
    </xf>
    <xf numFmtId="0" fontId="1" fillId="0" borderId="30" xfId="0" applyFont="1" applyBorder="1" applyAlignment="1">
      <alignment horizontal="left" vertical="center" shrinkToFit="1"/>
    </xf>
    <xf numFmtId="0" fontId="1" fillId="0" borderId="3" xfId="0" applyFont="1" applyBorder="1" applyAlignment="1">
      <alignment horizontal="center" vertical="center" shrinkToFit="1"/>
    </xf>
    <xf numFmtId="164" fontId="2" fillId="0" borderId="11" xfId="0" applyNumberFormat="1" applyFont="1" applyBorder="1" applyAlignment="1" applyProtection="1">
      <alignment horizontal="center" vertical="center" shrinkToFit="1"/>
      <protection locked="0"/>
    </xf>
    <xf numFmtId="164" fontId="2" fillId="0" borderId="23" xfId="0" applyNumberFormat="1" applyFont="1" applyBorder="1" applyAlignment="1" applyProtection="1">
      <alignment horizontal="center" vertical="center" shrinkToFit="1"/>
      <protection locked="0"/>
    </xf>
    <xf numFmtId="164" fontId="2" fillId="0" borderId="12" xfId="0" applyNumberFormat="1" applyFont="1" applyBorder="1" applyAlignment="1" applyProtection="1">
      <alignment horizontal="center" vertical="center" shrinkToFit="1"/>
      <protection locked="0"/>
    </xf>
    <xf numFmtId="164" fontId="2" fillId="0" borderId="13" xfId="0" applyNumberFormat="1" applyFont="1" applyBorder="1" applyAlignment="1" applyProtection="1">
      <alignment horizontal="center" vertical="center" shrinkToFit="1"/>
      <protection locked="0"/>
    </xf>
    <xf numFmtId="164" fontId="2" fillId="0" borderId="24" xfId="0" applyNumberFormat="1" applyFont="1" applyBorder="1" applyAlignment="1" applyProtection="1">
      <alignment horizontal="center" vertical="center" shrinkToFit="1"/>
      <protection locked="0"/>
    </xf>
    <xf numFmtId="164" fontId="2" fillId="0" borderId="14" xfId="0" applyNumberFormat="1" applyFont="1" applyBorder="1" applyAlignment="1" applyProtection="1">
      <alignment horizontal="center" vertical="center" shrinkToFit="1"/>
      <protection locked="0"/>
    </xf>
    <xf numFmtId="164" fontId="2" fillId="0" borderId="15" xfId="0" applyNumberFormat="1" applyFont="1" applyBorder="1" applyAlignment="1" applyProtection="1">
      <alignment horizontal="center" vertical="center" shrinkToFit="1"/>
      <protection locked="0"/>
    </xf>
    <xf numFmtId="164" fontId="2" fillId="0" borderId="22" xfId="0" applyNumberFormat="1" applyFont="1" applyBorder="1" applyAlignment="1" applyProtection="1">
      <alignment horizontal="center" vertical="center" shrinkToFit="1"/>
      <protection locked="0"/>
    </xf>
    <xf numFmtId="164" fontId="2" fillId="0" borderId="16" xfId="0" applyNumberFormat="1" applyFont="1" applyBorder="1" applyAlignment="1" applyProtection="1">
      <alignment horizontal="center" vertical="center" shrinkToFit="1"/>
      <protection locked="0"/>
    </xf>
    <xf numFmtId="10" fontId="2" fillId="0" borderId="11" xfId="0" applyNumberFormat="1" applyFont="1" applyBorder="1" applyAlignment="1">
      <alignment horizontal="center" vertical="center" shrinkToFit="1"/>
    </xf>
    <xf numFmtId="10" fontId="2" fillId="0" borderId="13" xfId="0" applyNumberFormat="1" applyFont="1" applyBorder="1" applyAlignment="1">
      <alignment horizontal="center" vertical="center" shrinkToFit="1"/>
    </xf>
    <xf numFmtId="0" fontId="2" fillId="0" borderId="14" xfId="0" applyFont="1" applyBorder="1" applyAlignment="1">
      <alignment horizontal="center" vertical="center" shrinkToFit="1"/>
    </xf>
    <xf numFmtId="10" fontId="2" fillId="0" borderId="15" xfId="0" applyNumberFormat="1" applyFont="1" applyBorder="1" applyAlignment="1">
      <alignment horizontal="center" vertical="center" shrinkToFit="1"/>
    </xf>
    <xf numFmtId="164" fontId="2" fillId="0" borderId="10" xfId="0" applyNumberFormat="1" applyFont="1" applyBorder="1" applyAlignment="1">
      <alignment horizontal="center" vertical="center" shrinkToFit="1"/>
    </xf>
    <xf numFmtId="0" fontId="1" fillId="0" borderId="31" xfId="0" applyFont="1" applyBorder="1" applyAlignment="1">
      <alignment horizontal="left" vertical="center" shrinkToFit="1"/>
    </xf>
    <xf numFmtId="10" fontId="1" fillId="0" borderId="0" xfId="0" applyNumberFormat="1" applyFont="1" applyAlignment="1">
      <alignment horizontal="center" vertical="center" shrinkToFit="1"/>
    </xf>
    <xf numFmtId="0" fontId="2" fillId="0" borderId="3" xfId="0" applyFont="1" applyBorder="1" applyAlignment="1">
      <alignment horizontal="center" vertical="center" shrinkToFit="1"/>
    </xf>
    <xf numFmtId="14" fontId="1" fillId="0" borderId="0" xfId="0" applyNumberFormat="1" applyFont="1" applyAlignment="1">
      <alignment horizontal="center" vertical="center" shrinkToFit="1"/>
    </xf>
    <xf numFmtId="0" fontId="2" fillId="0" borderId="29" xfId="0" applyFont="1" applyBorder="1" applyAlignment="1">
      <alignment horizontal="center" vertical="center" shrinkToFit="1"/>
    </xf>
    <xf numFmtId="0" fontId="10" fillId="0" borderId="0" xfId="0" applyFont="1" applyAlignment="1">
      <alignment horizontal="center" vertical="center" shrinkToFit="1"/>
    </xf>
    <xf numFmtId="0" fontId="15" fillId="0" borderId="0" xfId="0" applyFont="1" applyAlignment="1">
      <alignment horizontal="center" vertical="center" shrinkToFit="1"/>
    </xf>
    <xf numFmtId="0" fontId="1" fillId="0" borderId="35" xfId="0" applyFont="1" applyBorder="1" applyAlignment="1">
      <alignment horizontal="center" vertical="center" shrinkToFit="1"/>
    </xf>
    <xf numFmtId="0" fontId="1" fillId="0" borderId="36" xfId="0" applyFont="1" applyBorder="1" applyAlignment="1">
      <alignment horizontal="center" vertical="center" shrinkToFit="1"/>
    </xf>
    <xf numFmtId="0" fontId="8" fillId="0" borderId="0" xfId="0" applyFont="1" applyAlignment="1">
      <alignment horizontal="center" vertical="center" shrinkToFit="1"/>
    </xf>
    <xf numFmtId="0" fontId="1" fillId="0" borderId="30" xfId="0" applyFont="1" applyBorder="1" applyAlignment="1">
      <alignment horizontal="center" vertical="center" shrinkToFit="1"/>
    </xf>
    <xf numFmtId="166" fontId="1" fillId="0" borderId="30" xfId="0" applyNumberFormat="1" applyFont="1" applyBorder="1" applyAlignment="1">
      <alignment horizontal="center" vertical="center" shrinkToFit="1"/>
    </xf>
    <xf numFmtId="0" fontId="1" fillId="0" borderId="12" xfId="0" applyFont="1" applyBorder="1" applyAlignment="1">
      <alignment horizontal="left" vertical="center" shrinkToFit="1"/>
    </xf>
    <xf numFmtId="0" fontId="1" fillId="0" borderId="14" xfId="0" applyFont="1" applyBorder="1" applyAlignment="1">
      <alignment horizontal="left" vertical="center" shrinkToFit="1"/>
    </xf>
    <xf numFmtId="0" fontId="1" fillId="0" borderId="16" xfId="0" applyFont="1" applyBorder="1" applyAlignment="1">
      <alignment horizontal="left" vertical="center" shrinkToFit="1"/>
    </xf>
    <xf numFmtId="2" fontId="8" fillId="0" borderId="17" xfId="0" applyNumberFormat="1" applyFont="1" applyBorder="1" applyAlignment="1">
      <alignment horizontal="center" vertical="center" shrinkToFit="1"/>
    </xf>
    <xf numFmtId="0" fontId="8" fillId="0" borderId="26" xfId="0" applyFont="1" applyBorder="1" applyAlignment="1">
      <alignment horizontal="center" vertical="center" shrinkToFit="1"/>
    </xf>
    <xf numFmtId="2" fontId="8" fillId="0" borderId="18" xfId="0" applyNumberFormat="1" applyFont="1" applyBorder="1" applyAlignment="1">
      <alignment horizontal="center" vertical="center" shrinkToFit="1"/>
    </xf>
    <xf numFmtId="2" fontId="1" fillId="0" borderId="28" xfId="0" applyNumberFormat="1" applyFont="1" applyBorder="1" applyAlignment="1">
      <alignment horizontal="center" vertical="center" shrinkToFit="1"/>
    </xf>
    <xf numFmtId="2" fontId="8" fillId="0" borderId="21" xfId="0" applyNumberFormat="1" applyFont="1" applyBorder="1" applyAlignment="1">
      <alignment horizontal="center" vertical="center" shrinkToFit="1"/>
    </xf>
    <xf numFmtId="2" fontId="1" fillId="0" borderId="27" xfId="0" applyNumberFormat="1" applyFont="1" applyBorder="1" applyAlignment="1">
      <alignment horizontal="center" vertical="center" shrinkToFit="1"/>
    </xf>
    <xf numFmtId="2" fontId="1" fillId="0" borderId="26" xfId="0" applyNumberFormat="1"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37" xfId="0" applyFont="1" applyBorder="1" applyAlignment="1">
      <alignment horizontal="center" vertical="center" shrinkToFit="1"/>
    </xf>
    <xf numFmtId="164" fontId="1" fillId="0" borderId="38" xfId="0" applyNumberFormat="1" applyFont="1" applyBorder="1" applyAlignment="1">
      <alignment horizontal="center" vertical="center" shrinkToFit="1"/>
    </xf>
    <xf numFmtId="0" fontId="1" fillId="0" borderId="39" xfId="0" applyFont="1" applyBorder="1" applyAlignment="1">
      <alignment horizontal="left" vertical="center" shrinkToFit="1"/>
    </xf>
    <xf numFmtId="0" fontId="1" fillId="0" borderId="31" xfId="0" applyFont="1" applyBorder="1" applyAlignment="1">
      <alignment horizontal="center" vertical="center" shrinkToFit="1"/>
    </xf>
    <xf numFmtId="0" fontId="1" fillId="0" borderId="4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3" xfId="0" applyFont="1" applyBorder="1" applyAlignment="1">
      <alignment horizontal="center" vertical="center" shrinkToFit="1"/>
    </xf>
    <xf numFmtId="164" fontId="1" fillId="0" borderId="31" xfId="0" applyNumberFormat="1" applyFont="1" applyBorder="1" applyAlignment="1">
      <alignment horizontal="center" vertical="center" shrinkToFit="1"/>
    </xf>
    <xf numFmtId="164" fontId="1" fillId="0" borderId="31" xfId="0" quotePrefix="1" applyNumberFormat="1" applyFont="1" applyBorder="1" applyAlignment="1">
      <alignment horizontal="center" vertical="center" shrinkToFit="1"/>
    </xf>
    <xf numFmtId="0" fontId="1" fillId="0" borderId="40" xfId="0" applyFont="1" applyBorder="1" applyAlignment="1">
      <alignment horizontal="left" vertical="center" shrinkToFit="1"/>
    </xf>
    <xf numFmtId="0" fontId="8" fillId="0" borderId="0" xfId="0" applyFont="1" applyAlignment="1">
      <alignment horizontal="center" vertical="center"/>
    </xf>
    <xf numFmtId="10" fontId="1" fillId="0" borderId="3" xfId="0" applyNumberFormat="1" applyFont="1" applyBorder="1" applyAlignment="1">
      <alignment horizontal="center" vertical="center" shrinkToFit="1"/>
    </xf>
    <xf numFmtId="168" fontId="1" fillId="0" borderId="3" xfId="0" applyNumberFormat="1" applyFont="1" applyBorder="1" applyAlignment="1">
      <alignment horizontal="center" vertical="center" shrinkToFit="1"/>
    </xf>
    <xf numFmtId="0" fontId="8" fillId="0" borderId="0" xfId="0" applyFont="1" applyAlignment="1">
      <alignment horizontal="left" vertical="center" shrinkToFit="1"/>
    </xf>
    <xf numFmtId="164" fontId="8" fillId="0" borderId="0" xfId="0" applyNumberFormat="1" applyFont="1" applyAlignment="1">
      <alignment horizontal="center" vertical="center" shrinkToFit="1"/>
    </xf>
    <xf numFmtId="0" fontId="1" fillId="0" borderId="0" xfId="0" applyFont="1" applyAlignment="1">
      <alignment shrinkToFit="1"/>
    </xf>
    <xf numFmtId="0" fontId="16" fillId="0" borderId="3" xfId="0" applyFont="1" applyBorder="1" applyAlignment="1">
      <alignment horizontal="center" shrinkToFit="1"/>
    </xf>
    <xf numFmtId="0" fontId="2" fillId="0" borderId="0" xfId="0" applyFont="1" applyAlignment="1">
      <alignment shrinkToFit="1"/>
    </xf>
    <xf numFmtId="0" fontId="1" fillId="0" borderId="0" xfId="0" applyFont="1" applyAlignment="1">
      <alignment horizontal="center" shrinkToFit="1"/>
    </xf>
    <xf numFmtId="164" fontId="1" fillId="0" borderId="23" xfId="0" applyNumberFormat="1" applyFont="1" applyBorder="1" applyAlignment="1">
      <alignment horizontal="center" vertical="center" shrinkToFit="1"/>
    </xf>
    <xf numFmtId="164" fontId="1" fillId="0" borderId="12" xfId="0" applyNumberFormat="1" applyFont="1" applyBorder="1" applyAlignment="1">
      <alignment horizontal="center" vertical="center" shrinkToFit="1"/>
    </xf>
    <xf numFmtId="164" fontId="1" fillId="0" borderId="24" xfId="0" applyNumberFormat="1" applyFont="1" applyBorder="1" applyAlignment="1">
      <alignment horizontal="center" vertical="center" shrinkToFit="1"/>
    </xf>
    <xf numFmtId="164" fontId="1" fillId="0" borderId="14" xfId="0" applyNumberFormat="1"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12" fillId="0" borderId="0" xfId="0" applyFont="1" applyAlignment="1">
      <alignment horizontal="center" vertical="center" shrinkToFit="1"/>
    </xf>
    <xf numFmtId="0" fontId="10" fillId="0" borderId="0" xfId="0" applyFont="1" applyAlignment="1">
      <alignment vertical="top" wrapText="1"/>
    </xf>
    <xf numFmtId="0" fontId="1" fillId="3" borderId="0" xfId="0" applyFont="1" applyFill="1" applyAlignment="1">
      <alignment horizontal="center" vertical="center" shrinkToFit="1"/>
    </xf>
    <xf numFmtId="0" fontId="10" fillId="4" borderId="0" xfId="0" applyFont="1" applyFill="1" applyAlignment="1">
      <alignment horizontal="left" vertical="center" shrinkToFit="1"/>
    </xf>
    <xf numFmtId="0" fontId="6" fillId="0" borderId="0" xfId="0" applyFont="1" applyAlignment="1">
      <alignment horizontal="center" vertical="center" shrinkToFit="1"/>
    </xf>
    <xf numFmtId="0" fontId="5" fillId="0" borderId="0" xfId="0" applyFont="1" applyAlignment="1">
      <alignment horizontal="center" vertical="center" shrinkToFit="1"/>
    </xf>
    <xf numFmtId="164" fontId="5" fillId="0" borderId="15" xfId="0" applyNumberFormat="1" applyFont="1" applyBorder="1" applyAlignment="1">
      <alignment horizontal="center" vertical="center" shrinkToFit="1"/>
    </xf>
    <xf numFmtId="164" fontId="5" fillId="0" borderId="22" xfId="0" applyNumberFormat="1" applyFont="1" applyBorder="1" applyAlignment="1">
      <alignment horizontal="center" vertical="center" shrinkToFit="1"/>
    </xf>
    <xf numFmtId="164" fontId="5" fillId="0" borderId="16" xfId="0" applyNumberFormat="1" applyFont="1" applyBorder="1" applyAlignment="1">
      <alignment horizontal="center" vertical="center" shrinkToFit="1"/>
    </xf>
    <xf numFmtId="164" fontId="5" fillId="0" borderId="2" xfId="0" applyNumberFormat="1"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6" xfId="0" applyFont="1" applyBorder="1" applyAlignment="1">
      <alignment horizontal="center" vertical="center" shrinkToFit="1"/>
    </xf>
    <xf numFmtId="0" fontId="6" fillId="0" borderId="17" xfId="0" applyFont="1" applyBorder="1" applyAlignment="1">
      <alignment horizontal="center" vertical="center" shrinkToFit="1"/>
    </xf>
    <xf numFmtId="1" fontId="6" fillId="0" borderId="11" xfId="0" applyNumberFormat="1" applyFont="1" applyBorder="1" applyAlignment="1">
      <alignment horizontal="center" vertical="center" shrinkToFit="1"/>
    </xf>
    <xf numFmtId="1" fontId="6" fillId="0" borderId="23" xfId="0" applyNumberFormat="1" applyFont="1" applyBorder="1" applyAlignment="1">
      <alignment horizontal="center" vertical="center" shrinkToFit="1"/>
    </xf>
    <xf numFmtId="1" fontId="6" fillId="0" borderId="12" xfId="0" applyNumberFormat="1" applyFont="1" applyBorder="1" applyAlignment="1">
      <alignment horizontal="center" vertical="center" shrinkToFit="1"/>
    </xf>
    <xf numFmtId="165" fontId="6" fillId="0" borderId="11" xfId="0" applyNumberFormat="1" applyFont="1" applyBorder="1" applyAlignment="1">
      <alignment horizontal="center" vertical="center" shrinkToFit="1"/>
    </xf>
    <xf numFmtId="165" fontId="6" fillId="0" borderId="23" xfId="0" applyNumberFormat="1" applyFont="1" applyBorder="1" applyAlignment="1">
      <alignment horizontal="center" vertical="center" shrinkToFit="1"/>
    </xf>
    <xf numFmtId="165" fontId="6" fillId="0" borderId="12" xfId="0" applyNumberFormat="1" applyFont="1" applyBorder="1" applyAlignment="1">
      <alignment horizontal="center" vertical="center" shrinkToFit="1"/>
    </xf>
    <xf numFmtId="2" fontId="6" fillId="0" borderId="11" xfId="0" applyNumberFormat="1" applyFont="1" applyBorder="1" applyAlignment="1">
      <alignment horizontal="center" vertical="center" shrinkToFit="1"/>
    </xf>
    <xf numFmtId="2" fontId="6" fillId="0" borderId="12" xfId="0" applyNumberFormat="1" applyFont="1" applyBorder="1" applyAlignment="1">
      <alignment horizontal="center" vertical="center" shrinkToFit="1"/>
    </xf>
    <xf numFmtId="2" fontId="6" fillId="0" borderId="26" xfId="0" applyNumberFormat="1" applyFont="1" applyBorder="1" applyAlignment="1">
      <alignment horizontal="center" vertical="center" shrinkToFit="1"/>
    </xf>
    <xf numFmtId="0" fontId="6" fillId="0" borderId="18" xfId="0" applyFont="1" applyBorder="1" applyAlignment="1">
      <alignment horizontal="center" vertical="center" shrinkToFit="1"/>
    </xf>
    <xf numFmtId="1" fontId="6" fillId="0" borderId="13" xfId="0" applyNumberFormat="1" applyFont="1" applyBorder="1" applyAlignment="1">
      <alignment horizontal="center" vertical="center" shrinkToFit="1"/>
    </xf>
    <xf numFmtId="1" fontId="6" fillId="0" borderId="24" xfId="0" applyNumberFormat="1" applyFont="1" applyBorder="1" applyAlignment="1">
      <alignment horizontal="center" vertical="center" shrinkToFit="1"/>
    </xf>
    <xf numFmtId="1" fontId="6" fillId="0" borderId="14" xfId="0" applyNumberFormat="1" applyFont="1" applyBorder="1" applyAlignment="1">
      <alignment horizontal="center" vertical="center" shrinkToFit="1"/>
    </xf>
    <xf numFmtId="165" fontId="6" fillId="0" borderId="13" xfId="0" applyNumberFormat="1" applyFont="1" applyBorder="1" applyAlignment="1">
      <alignment horizontal="center" vertical="center" shrinkToFit="1"/>
    </xf>
    <xf numFmtId="165" fontId="6" fillId="0" borderId="24" xfId="0" applyNumberFormat="1" applyFont="1" applyBorder="1" applyAlignment="1">
      <alignment horizontal="center" vertical="center" shrinkToFit="1"/>
    </xf>
    <xf numFmtId="165" fontId="6" fillId="0" borderId="14" xfId="0" applyNumberFormat="1" applyFont="1" applyBorder="1" applyAlignment="1">
      <alignment horizontal="center" vertical="center" shrinkToFit="1"/>
    </xf>
    <xf numFmtId="2" fontId="6" fillId="0" borderId="13" xfId="0" applyNumberFormat="1" applyFont="1" applyBorder="1" applyAlignment="1">
      <alignment horizontal="center" vertical="center" shrinkToFit="1"/>
    </xf>
    <xf numFmtId="2" fontId="6" fillId="0" borderId="14" xfId="0" applyNumberFormat="1" applyFont="1" applyBorder="1" applyAlignment="1">
      <alignment horizontal="center" vertical="center" shrinkToFit="1"/>
    </xf>
    <xf numFmtId="2" fontId="6" fillId="0" borderId="28" xfId="0" applyNumberFormat="1" applyFont="1" applyBorder="1" applyAlignment="1">
      <alignment horizontal="center" vertical="center" shrinkToFit="1"/>
    </xf>
    <xf numFmtId="0" fontId="6" fillId="0" borderId="21" xfId="0" applyFont="1" applyBorder="1" applyAlignment="1">
      <alignment horizontal="center" vertical="center" shrinkToFit="1"/>
    </xf>
    <xf numFmtId="1" fontId="6" fillId="0" borderId="15" xfId="0" applyNumberFormat="1" applyFont="1" applyBorder="1" applyAlignment="1">
      <alignment horizontal="center" vertical="center" shrinkToFit="1"/>
    </xf>
    <xf numFmtId="1" fontId="6" fillId="0" borderId="22" xfId="0" applyNumberFormat="1" applyFont="1" applyBorder="1" applyAlignment="1">
      <alignment horizontal="center" vertical="center" shrinkToFit="1"/>
    </xf>
    <xf numFmtId="1" fontId="6" fillId="0" borderId="16" xfId="0" applyNumberFormat="1" applyFont="1" applyBorder="1" applyAlignment="1">
      <alignment horizontal="center" vertical="center" shrinkToFit="1"/>
    </xf>
    <xf numFmtId="165" fontId="6" fillId="0" borderId="15" xfId="0" applyNumberFormat="1" applyFont="1" applyBorder="1" applyAlignment="1">
      <alignment horizontal="center" vertical="center" shrinkToFit="1"/>
    </xf>
    <xf numFmtId="165" fontId="6" fillId="0" borderId="22" xfId="0" applyNumberFormat="1" applyFont="1" applyBorder="1" applyAlignment="1">
      <alignment horizontal="center" vertical="center" shrinkToFit="1"/>
    </xf>
    <xf numFmtId="165" fontId="6" fillId="0" borderId="16" xfId="0" applyNumberFormat="1" applyFont="1" applyBorder="1" applyAlignment="1">
      <alignment horizontal="center" vertical="center" shrinkToFit="1"/>
    </xf>
    <xf numFmtId="2" fontId="6" fillId="0" borderId="15" xfId="0" applyNumberFormat="1" applyFont="1" applyBorder="1" applyAlignment="1">
      <alignment horizontal="center" vertical="center" shrinkToFit="1"/>
    </xf>
    <xf numFmtId="2" fontId="6" fillId="0" borderId="16" xfId="0" applyNumberFormat="1" applyFont="1" applyBorder="1" applyAlignment="1">
      <alignment horizontal="center" vertical="center" shrinkToFit="1"/>
    </xf>
    <xf numFmtId="2" fontId="6" fillId="0" borderId="27" xfId="0" applyNumberFormat="1" applyFont="1" applyBorder="1" applyAlignment="1">
      <alignment horizontal="center" vertical="center" shrinkToFit="1"/>
    </xf>
    <xf numFmtId="0" fontId="4" fillId="0" borderId="0" xfId="0" applyFont="1" applyAlignment="1">
      <alignment horizontal="center" vertical="center" shrinkToFit="1"/>
    </xf>
    <xf numFmtId="164" fontId="6" fillId="0" borderId="0" xfId="0" applyNumberFormat="1" applyFont="1" applyAlignment="1">
      <alignment horizontal="center" vertical="center" shrinkToFit="1"/>
    </xf>
    <xf numFmtId="0" fontId="6" fillId="0" borderId="6" xfId="0" applyFont="1" applyBorder="1" applyAlignment="1">
      <alignment horizontal="center" vertical="center" shrinkToFit="1"/>
    </xf>
    <xf numFmtId="165" fontId="6" fillId="0" borderId="20" xfId="0" applyNumberFormat="1" applyFont="1" applyBorder="1" applyAlignment="1">
      <alignment horizontal="center" vertical="center" shrinkToFit="1"/>
    </xf>
    <xf numFmtId="0" fontId="6" fillId="0" borderId="10" xfId="0" applyFont="1" applyBorder="1" applyAlignment="1">
      <alignment horizontal="center" vertical="center" shrinkToFit="1"/>
    </xf>
    <xf numFmtId="0" fontId="6" fillId="0" borderId="7" xfId="0" applyFont="1" applyBorder="1" applyAlignment="1">
      <alignment horizontal="center" vertical="center" shrinkToFit="1"/>
    </xf>
    <xf numFmtId="0" fontId="2" fillId="0" borderId="12" xfId="0" applyFont="1" applyBorder="1" applyAlignment="1">
      <alignment horizontal="center" vertical="center" shrinkToFit="1"/>
    </xf>
    <xf numFmtId="164" fontId="1" fillId="0" borderId="22" xfId="0" applyNumberFormat="1" applyFont="1" applyBorder="1" applyAlignment="1">
      <alignment horizontal="center" vertical="center" shrinkToFit="1"/>
    </xf>
    <xf numFmtId="164" fontId="1" fillId="0" borderId="16" xfId="0" applyNumberFormat="1" applyFont="1" applyBorder="1" applyAlignment="1">
      <alignment horizontal="center" vertical="center" shrinkToFit="1"/>
    </xf>
    <xf numFmtId="0" fontId="3" fillId="0" borderId="8" xfId="0" applyFont="1" applyBorder="1" applyAlignment="1">
      <alignment horizontal="center" vertical="center" shrinkToFit="1"/>
    </xf>
    <xf numFmtId="0" fontId="10" fillId="0" borderId="1" xfId="0" applyFont="1" applyBorder="1" applyAlignment="1">
      <alignment horizontal="center" vertical="center" shrinkToFit="1"/>
    </xf>
    <xf numFmtId="0" fontId="3" fillId="0" borderId="3" xfId="0" applyFont="1" applyBorder="1" applyAlignment="1">
      <alignment horizontal="center" vertical="center" shrinkToFit="1"/>
    </xf>
    <xf numFmtId="0" fontId="10" fillId="0" borderId="8" xfId="0" applyFont="1" applyBorder="1" applyAlignment="1">
      <alignment horizontal="center" vertical="center" shrinkToFit="1"/>
    </xf>
    <xf numFmtId="0" fontId="3" fillId="0" borderId="6" xfId="0" applyFont="1" applyBorder="1" applyAlignment="1">
      <alignment horizontal="center" vertical="center" shrinkToFit="1"/>
    </xf>
    <xf numFmtId="164" fontId="10" fillId="0" borderId="6" xfId="0" applyNumberFormat="1" applyFont="1" applyBorder="1" applyAlignment="1">
      <alignment horizontal="center" vertical="center" shrinkToFit="1"/>
    </xf>
    <xf numFmtId="164" fontId="10" fillId="0" borderId="8" xfId="0" applyNumberFormat="1" applyFont="1" applyBorder="1" applyAlignment="1">
      <alignment horizontal="center" vertical="center" shrinkToFit="1"/>
    </xf>
    <xf numFmtId="0" fontId="3" fillId="0" borderId="9" xfId="0" applyFont="1" applyBorder="1" applyAlignment="1">
      <alignment horizontal="center" vertical="center" shrinkToFit="1"/>
    </xf>
    <xf numFmtId="164" fontId="10" fillId="0" borderId="9" xfId="0" applyNumberFormat="1" applyFont="1" applyBorder="1" applyAlignment="1">
      <alignment horizontal="center" vertical="center" shrinkToFit="1"/>
    </xf>
    <xf numFmtId="0" fontId="3" fillId="0" borderId="7" xfId="0" applyFont="1" applyBorder="1" applyAlignment="1">
      <alignment horizontal="center" vertical="center" shrinkToFit="1"/>
    </xf>
    <xf numFmtId="164" fontId="10" fillId="0" borderId="7" xfId="0" applyNumberFormat="1" applyFont="1" applyBorder="1" applyAlignment="1">
      <alignment horizontal="center" vertical="center" shrinkToFit="1"/>
    </xf>
    <xf numFmtId="0" fontId="3"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 fillId="0" borderId="9" xfId="0" applyFont="1" applyBorder="1" applyAlignment="1">
      <alignment horizontal="center" vertical="center" shrinkToFit="1"/>
    </xf>
    <xf numFmtId="0" fontId="1" fillId="0" borderId="9" xfId="0" applyFont="1" applyBorder="1" applyAlignment="1">
      <alignment horizontal="left" vertical="center" shrinkToFit="1"/>
    </xf>
    <xf numFmtId="164" fontId="2" fillId="0" borderId="47" xfId="0" applyNumberFormat="1" applyFont="1" applyBorder="1" applyAlignment="1" applyProtection="1">
      <alignment horizontal="center" vertical="center" shrinkToFit="1"/>
      <protection locked="0"/>
    </xf>
    <xf numFmtId="164" fontId="2" fillId="0" borderId="48" xfId="0" applyNumberFormat="1" applyFont="1" applyBorder="1" applyAlignment="1" applyProtection="1">
      <alignment horizontal="center" vertical="center" shrinkToFit="1"/>
      <protection locked="0"/>
    </xf>
    <xf numFmtId="164" fontId="2" fillId="0" borderId="49" xfId="0" applyNumberFormat="1" applyFont="1" applyBorder="1" applyAlignment="1" applyProtection="1">
      <alignment horizontal="center" vertical="center" shrinkToFit="1"/>
      <protection locked="0"/>
    </xf>
    <xf numFmtId="10" fontId="2" fillId="0" borderId="47" xfId="0" applyNumberFormat="1" applyFont="1" applyBorder="1" applyAlignment="1">
      <alignment horizontal="center" vertical="center" shrinkToFit="1"/>
    </xf>
    <xf numFmtId="0" fontId="2" fillId="0" borderId="49" xfId="0" applyFont="1" applyBorder="1" applyAlignment="1">
      <alignment horizontal="center" vertical="center" shrinkToFit="1"/>
    </xf>
    <xf numFmtId="164" fontId="2" fillId="0" borderId="9" xfId="0" applyNumberFormat="1" applyFont="1" applyBorder="1" applyAlignment="1">
      <alignment horizontal="center" vertical="center" shrinkToFit="1"/>
    </xf>
    <xf numFmtId="0" fontId="2" fillId="0" borderId="50" xfId="0" applyFont="1" applyBorder="1" applyAlignment="1">
      <alignment horizontal="center" vertical="center" shrinkToFit="1"/>
    </xf>
    <xf numFmtId="164" fontId="1" fillId="0" borderId="47" xfId="0" applyNumberFormat="1" applyFont="1" applyBorder="1" applyAlignment="1">
      <alignment horizontal="center" vertical="center" shrinkToFit="1"/>
    </xf>
    <xf numFmtId="0" fontId="1" fillId="0" borderId="49" xfId="0" applyFont="1" applyBorder="1" applyAlignment="1">
      <alignment horizontal="left" vertical="center" shrinkToFit="1"/>
    </xf>
    <xf numFmtId="2" fontId="8" fillId="0" borderId="50" xfId="0" applyNumberFormat="1" applyFont="1" applyBorder="1" applyAlignment="1">
      <alignment horizontal="center" vertical="center" shrinkToFit="1"/>
    </xf>
    <xf numFmtId="2" fontId="1" fillId="0" borderId="51" xfId="0" applyNumberFormat="1" applyFont="1" applyBorder="1" applyAlignment="1">
      <alignment horizontal="center" vertical="center" shrinkToFit="1"/>
    </xf>
    <xf numFmtId="0" fontId="1" fillId="0" borderId="33" xfId="0" applyFont="1" applyBorder="1" applyAlignment="1">
      <alignment horizontal="center" vertical="center" shrinkToFit="1"/>
    </xf>
    <xf numFmtId="2" fontId="1" fillId="0" borderId="33" xfId="0" applyNumberFormat="1" applyFont="1" applyBorder="1" applyAlignment="1">
      <alignment horizontal="center" vertical="center" shrinkToFit="1"/>
    </xf>
    <xf numFmtId="0" fontId="2" fillId="0" borderId="52" xfId="0" applyFont="1" applyBorder="1" applyAlignment="1">
      <alignment vertical="center" shrinkToFit="1"/>
    </xf>
    <xf numFmtId="0" fontId="2" fillId="3" borderId="44" xfId="0" applyFont="1" applyFill="1" applyBorder="1" applyAlignment="1">
      <alignment horizontal="center" vertical="center" shrinkToFit="1"/>
    </xf>
    <xf numFmtId="10" fontId="1" fillId="3" borderId="44" xfId="0" applyNumberFormat="1" applyFont="1" applyFill="1" applyBorder="1" applyAlignment="1">
      <alignment horizontal="center" vertical="center" shrinkToFit="1"/>
    </xf>
    <xf numFmtId="168" fontId="1" fillId="3" borderId="44" xfId="0" applyNumberFormat="1" applyFont="1" applyFill="1" applyBorder="1" applyAlignment="1">
      <alignment horizontal="center" vertical="center" shrinkToFit="1"/>
    </xf>
    <xf numFmtId="0" fontId="2" fillId="3" borderId="10" xfId="0" applyFont="1" applyFill="1" applyBorder="1" applyAlignment="1">
      <alignment horizontal="center" vertical="center" shrinkToFit="1"/>
    </xf>
    <xf numFmtId="10" fontId="1" fillId="3" borderId="10" xfId="0" applyNumberFormat="1" applyFont="1" applyFill="1" applyBorder="1" applyAlignment="1">
      <alignment horizontal="center" vertical="center" shrinkToFit="1"/>
    </xf>
    <xf numFmtId="168" fontId="1" fillId="3" borderId="10" xfId="0" applyNumberFormat="1" applyFont="1" applyFill="1" applyBorder="1" applyAlignment="1">
      <alignment horizontal="center" vertical="center" shrinkToFit="1"/>
    </xf>
    <xf numFmtId="0" fontId="2" fillId="4" borderId="6" xfId="0" applyFont="1" applyFill="1" applyBorder="1" applyAlignment="1">
      <alignment horizontal="center" vertical="center" shrinkToFit="1"/>
    </xf>
    <xf numFmtId="10" fontId="1" fillId="4" borderId="6" xfId="0" applyNumberFormat="1" applyFont="1" applyFill="1" applyBorder="1" applyAlignment="1">
      <alignment horizontal="center" vertical="center" shrinkToFit="1"/>
    </xf>
    <xf numFmtId="168" fontId="1" fillId="4" borderId="6" xfId="0" applyNumberFormat="1" applyFont="1" applyFill="1" applyBorder="1" applyAlignment="1">
      <alignment horizontal="center" vertical="center" shrinkToFit="1"/>
    </xf>
    <xf numFmtId="0" fontId="2" fillId="4" borderId="10" xfId="0" applyFont="1" applyFill="1" applyBorder="1" applyAlignment="1">
      <alignment horizontal="center" vertical="center" shrinkToFit="1"/>
    </xf>
    <xf numFmtId="10" fontId="1" fillId="4" borderId="10" xfId="0" applyNumberFormat="1" applyFont="1" applyFill="1" applyBorder="1" applyAlignment="1">
      <alignment horizontal="center" vertical="center" shrinkToFit="1"/>
    </xf>
    <xf numFmtId="168" fontId="1" fillId="4" borderId="10" xfId="0" applyNumberFormat="1" applyFont="1" applyFill="1" applyBorder="1" applyAlignment="1">
      <alignment horizontal="center" vertical="center" shrinkToFit="1"/>
    </xf>
    <xf numFmtId="0" fontId="2" fillId="4" borderId="9" xfId="0" applyFont="1" applyFill="1" applyBorder="1" applyAlignment="1">
      <alignment horizontal="center" vertical="center" shrinkToFit="1"/>
    </xf>
    <xf numFmtId="10" fontId="1" fillId="4" borderId="9" xfId="0" applyNumberFormat="1" applyFont="1" applyFill="1" applyBorder="1" applyAlignment="1">
      <alignment horizontal="center" vertical="center" shrinkToFit="1"/>
    </xf>
    <xf numFmtId="168" fontId="1" fillId="4" borderId="9" xfId="0" applyNumberFormat="1" applyFont="1" applyFill="1" applyBorder="1" applyAlignment="1">
      <alignment horizontal="center" vertical="center" shrinkToFit="1"/>
    </xf>
    <xf numFmtId="0" fontId="2" fillId="4" borderId="7" xfId="0" applyFont="1" applyFill="1" applyBorder="1" applyAlignment="1">
      <alignment horizontal="center" vertical="center" shrinkToFit="1"/>
    </xf>
    <xf numFmtId="10" fontId="1" fillId="4" borderId="7" xfId="0" applyNumberFormat="1" applyFont="1" applyFill="1" applyBorder="1" applyAlignment="1">
      <alignment horizontal="center" vertical="center" shrinkToFit="1"/>
    </xf>
    <xf numFmtId="168" fontId="1" fillId="4" borderId="7" xfId="0" applyNumberFormat="1" applyFont="1" applyFill="1" applyBorder="1" applyAlignment="1">
      <alignment horizontal="center" vertical="center" shrinkToFit="1"/>
    </xf>
    <xf numFmtId="0" fontId="1" fillId="0" borderId="53" xfId="0" applyFont="1" applyBorder="1" applyAlignment="1">
      <alignment horizontal="center" vertical="center" shrinkToFit="1"/>
    </xf>
    <xf numFmtId="0" fontId="1" fillId="0" borderId="54" xfId="0" applyFont="1" applyBorder="1" applyAlignment="1">
      <alignment horizontal="center" vertical="center" shrinkToFit="1"/>
    </xf>
    <xf numFmtId="2" fontId="1" fillId="0" borderId="54" xfId="0" applyNumberFormat="1" applyFont="1" applyBorder="1" applyAlignment="1">
      <alignment horizontal="center" vertical="center" shrinkToFit="1"/>
    </xf>
    <xf numFmtId="0" fontId="1" fillId="0" borderId="55" xfId="0" applyFont="1" applyBorder="1" applyAlignment="1">
      <alignment horizontal="center" vertical="center" shrinkToFit="1"/>
    </xf>
    <xf numFmtId="0" fontId="17" fillId="2" borderId="3" xfId="0" applyFont="1" applyFill="1" applyBorder="1" applyAlignment="1">
      <alignment horizontal="center" shrinkToFit="1"/>
    </xf>
    <xf numFmtId="0" fontId="17" fillId="2" borderId="44" xfId="0" applyFont="1" applyFill="1" applyBorder="1" applyAlignment="1">
      <alignment horizontal="center" shrinkToFit="1"/>
    </xf>
    <xf numFmtId="1" fontId="18" fillId="2" borderId="44" xfId="0" applyNumberFormat="1" applyFont="1" applyFill="1" applyBorder="1" applyAlignment="1">
      <alignment horizontal="center" shrinkToFit="1"/>
    </xf>
    <xf numFmtId="0" fontId="17" fillId="2" borderId="10" xfId="0" applyFont="1" applyFill="1" applyBorder="1" applyAlignment="1">
      <alignment horizontal="center" shrinkToFit="1"/>
    </xf>
    <xf numFmtId="0" fontId="17" fillId="2" borderId="9" xfId="0" applyFont="1" applyFill="1" applyBorder="1" applyAlignment="1">
      <alignment horizontal="center" shrinkToFit="1"/>
    </xf>
    <xf numFmtId="0" fontId="19" fillId="2" borderId="3" xfId="0" applyFont="1" applyFill="1" applyBorder="1" applyAlignment="1">
      <alignment horizontal="center" shrinkToFit="1"/>
    </xf>
    <xf numFmtId="1" fontId="19" fillId="2" borderId="3" xfId="0" applyNumberFormat="1" applyFont="1" applyFill="1" applyBorder="1" applyAlignment="1">
      <alignment horizontal="center" shrinkToFit="1"/>
    </xf>
    <xf numFmtId="10" fontId="19" fillId="2" borderId="3" xfId="0" applyNumberFormat="1" applyFont="1" applyFill="1" applyBorder="1" applyAlignment="1">
      <alignment horizontal="center" shrinkToFit="1"/>
    </xf>
    <xf numFmtId="0" fontId="3" fillId="0" borderId="0" xfId="0" applyFont="1" applyAlignment="1">
      <alignment horizontal="left" vertical="center"/>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12" fillId="0" borderId="0" xfId="0" applyFont="1" applyAlignment="1">
      <alignment horizontal="center" vertical="center" wrapText="1"/>
    </xf>
    <xf numFmtId="0" fontId="14" fillId="5" borderId="0" xfId="0" applyFont="1" applyFill="1" applyAlignment="1">
      <alignment horizontal="center" vertical="center" shrinkToFit="1"/>
    </xf>
    <xf numFmtId="0" fontId="11" fillId="2" borderId="0" xfId="0" applyFont="1" applyFill="1" applyAlignment="1" applyProtection="1">
      <alignment horizontal="center" vertical="center" shrinkToFit="1"/>
      <protection locked="0"/>
    </xf>
    <xf numFmtId="0" fontId="13" fillId="4" borderId="0" xfId="0" applyFont="1" applyFill="1" applyAlignment="1">
      <alignment horizontal="center" vertical="center" shrinkToFit="1"/>
    </xf>
    <xf numFmtId="0" fontId="9" fillId="3" borderId="0" xfId="0" applyFont="1" applyFill="1" applyAlignment="1">
      <alignment horizontal="center" vertical="center" wrapText="1" shrinkToFit="1"/>
    </xf>
    <xf numFmtId="0" fontId="9" fillId="3" borderId="0" xfId="0" applyFont="1" applyFill="1" applyAlignment="1">
      <alignment horizontal="center" vertical="center" shrinkToFit="1"/>
    </xf>
    <xf numFmtId="0" fontId="10" fillId="0" borderId="0" xfId="0" applyFont="1" applyAlignment="1">
      <alignment horizontal="left" vertical="top"/>
    </xf>
    <xf numFmtId="0" fontId="10" fillId="0" borderId="0" xfId="0" applyFont="1" applyAlignment="1">
      <alignment horizontal="left" vertical="top"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167" fontId="2" fillId="0" borderId="21" xfId="0" applyNumberFormat="1" applyFont="1" applyBorder="1" applyAlignment="1" applyProtection="1">
      <alignment horizontal="center" vertical="center" shrinkToFit="1"/>
      <protection locked="0"/>
    </xf>
    <xf numFmtId="167" fontId="2" fillId="0" borderId="45" xfId="0" applyNumberFormat="1" applyFont="1" applyBorder="1" applyAlignment="1" applyProtection="1">
      <alignment horizontal="center" vertical="center" shrinkToFit="1"/>
      <protection locked="0"/>
    </xf>
    <xf numFmtId="167" fontId="2" fillId="0" borderId="27" xfId="0" applyNumberFormat="1" applyFont="1" applyBorder="1" applyAlignment="1" applyProtection="1">
      <alignment horizontal="center" vertical="center" shrinkToFit="1"/>
      <protection locked="0"/>
    </xf>
    <xf numFmtId="167" fontId="2" fillId="0" borderId="17" xfId="0" applyNumberFormat="1" applyFont="1" applyBorder="1" applyAlignment="1" applyProtection="1">
      <alignment horizontal="center" vertical="center" shrinkToFit="1"/>
      <protection locked="0"/>
    </xf>
    <xf numFmtId="167" fontId="2" fillId="0" borderId="46" xfId="0" applyNumberFormat="1" applyFont="1" applyBorder="1" applyAlignment="1" applyProtection="1">
      <alignment horizontal="center" vertical="center" shrinkToFit="1"/>
      <protection locked="0"/>
    </xf>
    <xf numFmtId="167" fontId="2" fillId="0" borderId="26" xfId="0" applyNumberFormat="1" applyFont="1" applyBorder="1" applyAlignment="1" applyProtection="1">
      <alignment horizontal="center" vertical="center" shrinkToFit="1"/>
      <protection locked="0"/>
    </xf>
    <xf numFmtId="0" fontId="2" fillId="0" borderId="31" xfId="0" applyFont="1" applyBorder="1" applyAlignment="1" applyProtection="1">
      <alignment horizontal="center" vertical="center" shrinkToFit="1"/>
      <protection locked="0"/>
    </xf>
    <xf numFmtId="0" fontId="2" fillId="0" borderId="25" xfId="0" applyFont="1" applyBorder="1" applyAlignment="1" applyProtection="1">
      <alignment horizontal="center" vertical="center" shrinkToFit="1"/>
      <protection locked="0"/>
    </xf>
    <xf numFmtId="0" fontId="2" fillId="0" borderId="40" xfId="0" applyFont="1" applyBorder="1" applyAlignment="1" applyProtection="1">
      <alignment horizontal="center" vertical="center" shrinkToFit="1"/>
      <protection locked="0"/>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2" fillId="0" borderId="0" xfId="0" applyFont="1" applyAlignment="1">
      <alignment horizontal="center" vertical="center" shrinkToFit="1"/>
    </xf>
    <xf numFmtId="0" fontId="12" fillId="0" borderId="32" xfId="0" applyFont="1" applyBorder="1" applyAlignment="1">
      <alignment horizontal="center" vertical="center" shrinkToFit="1"/>
    </xf>
    <xf numFmtId="0" fontId="12" fillId="0" borderId="33" xfId="0" applyFont="1" applyBorder="1" applyAlignment="1">
      <alignment horizontal="center" vertical="center" shrinkToFit="1"/>
    </xf>
    <xf numFmtId="0" fontId="12" fillId="0" borderId="34" xfId="0" applyFont="1" applyBorder="1" applyAlignment="1">
      <alignment horizontal="center" vertical="center" shrinkToFit="1"/>
    </xf>
    <xf numFmtId="0" fontId="2" fillId="0" borderId="21" xfId="0" applyFont="1" applyBorder="1" applyAlignment="1" applyProtection="1">
      <alignment horizontal="center" vertical="center" shrinkToFit="1"/>
      <protection locked="0"/>
    </xf>
    <xf numFmtId="0" fontId="2" fillId="0" borderId="45" xfId="0" applyFont="1" applyBorder="1" applyAlignment="1" applyProtection="1">
      <alignment horizontal="center" vertical="center" shrinkToFit="1"/>
      <protection locked="0"/>
    </xf>
    <xf numFmtId="0" fontId="2" fillId="0" borderId="27" xfId="0" applyFont="1" applyBorder="1" applyAlignment="1" applyProtection="1">
      <alignment horizontal="center" vertical="center" shrinkToFit="1"/>
      <protection locked="0"/>
    </xf>
    <xf numFmtId="0" fontId="2" fillId="0" borderId="17" xfId="0" applyFont="1" applyBorder="1" applyAlignment="1" applyProtection="1">
      <alignment horizontal="center" vertical="center" shrinkToFit="1"/>
      <protection locked="0"/>
    </xf>
    <xf numFmtId="0" fontId="2" fillId="0" borderId="46" xfId="0" applyFont="1" applyBorder="1" applyAlignment="1" applyProtection="1">
      <alignment horizontal="center" vertical="center" shrinkToFit="1"/>
      <protection locked="0"/>
    </xf>
    <xf numFmtId="0" fontId="2" fillId="0" borderId="26" xfId="0" applyFont="1" applyBorder="1" applyAlignment="1" applyProtection="1">
      <alignment horizontal="center" vertical="center" shrinkToFit="1"/>
      <protection locked="0"/>
    </xf>
    <xf numFmtId="0" fontId="2" fillId="0" borderId="21" xfId="0" applyFont="1" applyBorder="1" applyAlignment="1">
      <alignment horizontal="center" vertical="center" shrinkToFit="1"/>
    </xf>
    <xf numFmtId="0" fontId="2" fillId="0" borderId="45" xfId="0" applyFont="1" applyBorder="1" applyAlignment="1">
      <alignment horizontal="center" vertical="center" shrinkToFit="1"/>
    </xf>
    <xf numFmtId="0" fontId="2" fillId="0" borderId="27"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12" xfId="0" applyFont="1" applyBorder="1" applyAlignment="1">
      <alignment horizontal="center" vertical="center" shrinkToFit="1"/>
    </xf>
    <xf numFmtId="164" fontId="1" fillId="0" borderId="22" xfId="0" applyNumberFormat="1" applyFont="1" applyBorder="1" applyAlignment="1">
      <alignment horizontal="center" vertical="center" shrinkToFit="1"/>
    </xf>
    <xf numFmtId="164" fontId="1" fillId="0" borderId="16" xfId="0" applyNumberFormat="1" applyFont="1" applyBorder="1" applyAlignment="1">
      <alignment horizontal="center" vertical="center" shrinkToFit="1"/>
    </xf>
    <xf numFmtId="164" fontId="1" fillId="0" borderId="24" xfId="0" applyNumberFormat="1" applyFont="1" applyBorder="1" applyAlignment="1">
      <alignment horizontal="center" vertical="center" shrinkToFit="1"/>
    </xf>
    <xf numFmtId="164" fontId="1" fillId="0" borderId="14" xfId="0" applyNumberFormat="1" applyFont="1" applyBorder="1" applyAlignment="1">
      <alignment horizontal="center" vertical="center" shrinkToFit="1"/>
    </xf>
    <xf numFmtId="164" fontId="1" fillId="0" borderId="23" xfId="0" applyNumberFormat="1" applyFont="1" applyBorder="1" applyAlignment="1">
      <alignment horizontal="center" vertical="center" shrinkToFit="1"/>
    </xf>
    <xf numFmtId="164" fontId="1" fillId="0" borderId="12" xfId="0" applyNumberFormat="1"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46" xfId="0" applyFont="1" applyBorder="1" applyAlignment="1">
      <alignment horizontal="center" vertical="center" shrinkToFit="1"/>
    </xf>
    <xf numFmtId="0" fontId="2" fillId="0" borderId="26"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25"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41"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167" fontId="2" fillId="0" borderId="21" xfId="0" applyNumberFormat="1" applyFont="1" applyBorder="1" applyAlignment="1">
      <alignment horizontal="center" vertical="center" shrinkToFit="1"/>
    </xf>
    <xf numFmtId="167" fontId="2" fillId="0" borderId="45" xfId="0" applyNumberFormat="1" applyFont="1" applyBorder="1" applyAlignment="1">
      <alignment horizontal="center" vertical="center" shrinkToFit="1"/>
    </xf>
    <xf numFmtId="167" fontId="2" fillId="0" borderId="27" xfId="0" applyNumberFormat="1" applyFont="1" applyBorder="1" applyAlignment="1">
      <alignment horizontal="center" vertical="center" shrinkToFit="1"/>
    </xf>
    <xf numFmtId="167" fontId="2" fillId="0" borderId="17" xfId="0" applyNumberFormat="1" applyFont="1" applyBorder="1" applyAlignment="1">
      <alignment horizontal="center" vertical="center" shrinkToFit="1"/>
    </xf>
    <xf numFmtId="167" fontId="2" fillId="0" borderId="46" xfId="0" applyNumberFormat="1" applyFont="1" applyBorder="1" applyAlignment="1">
      <alignment horizontal="center" vertical="center" shrinkToFit="1"/>
    </xf>
    <xf numFmtId="167" fontId="2" fillId="0" borderId="26" xfId="0" applyNumberFormat="1" applyFont="1" applyBorder="1" applyAlignment="1">
      <alignment horizontal="center" vertical="center" shrinkToFit="1"/>
    </xf>
    <xf numFmtId="2" fontId="1" fillId="0" borderId="31" xfId="0" applyNumberFormat="1" applyFont="1" applyBorder="1" applyAlignment="1">
      <alignment horizontal="center" vertical="center" shrinkToFit="1"/>
    </xf>
    <xf numFmtId="2" fontId="1" fillId="0" borderId="40" xfId="0" applyNumberFormat="1" applyFont="1" applyBorder="1" applyAlignment="1">
      <alignment horizontal="center" vertical="center" shrinkToFit="1"/>
    </xf>
    <xf numFmtId="164" fontId="2" fillId="0" borderId="11" xfId="0" applyNumberFormat="1" applyFont="1" applyBorder="1" applyAlignment="1">
      <alignment horizontal="center" vertical="center" shrinkToFit="1"/>
    </xf>
    <xf numFmtId="164" fontId="2" fillId="0" borderId="12" xfId="0" applyNumberFormat="1" applyFont="1" applyBorder="1" applyAlignment="1">
      <alignment horizontal="center" vertical="center" shrinkToFit="1"/>
    </xf>
    <xf numFmtId="0" fontId="2" fillId="0" borderId="6" xfId="0" applyFont="1" applyBorder="1" applyAlignment="1">
      <alignment horizontal="center" vertical="center" shrinkToFit="1"/>
    </xf>
    <xf numFmtId="164" fontId="5" fillId="0" borderId="26" xfId="0" applyNumberFormat="1" applyFont="1" applyBorder="1" applyAlignment="1">
      <alignment horizontal="center" vertical="center" shrinkToFit="1"/>
    </xf>
    <xf numFmtId="164" fontId="5" fillId="0" borderId="27" xfId="0" applyNumberFormat="1"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164" fontId="5" fillId="0" borderId="11" xfId="0" applyNumberFormat="1" applyFont="1" applyBorder="1" applyAlignment="1">
      <alignment horizontal="center" vertical="center" shrinkToFit="1"/>
    </xf>
    <xf numFmtId="164" fontId="5" fillId="0" borderId="23" xfId="0" applyNumberFormat="1" applyFont="1" applyBorder="1" applyAlignment="1">
      <alignment horizontal="center" vertical="center" shrinkToFit="1"/>
    </xf>
    <xf numFmtId="164" fontId="5" fillId="0" borderId="12" xfId="0" applyNumberFormat="1" applyFont="1" applyBorder="1" applyAlignment="1">
      <alignment horizontal="center" vertical="center" shrinkToFit="1"/>
    </xf>
    <xf numFmtId="0" fontId="6" fillId="0" borderId="12" xfId="0" applyFont="1" applyBorder="1" applyAlignment="1">
      <alignment horizontal="center" vertical="center" shrinkToFit="1"/>
    </xf>
  </cellXfs>
  <cellStyles count="1">
    <cellStyle name="Normal" xfId="0" builtinId="0"/>
  </cellStyles>
  <dxfs count="102">
    <dxf>
      <fill>
        <patternFill>
          <bgColor theme="5" tint="0.39994506668294322"/>
        </patternFill>
      </fill>
    </dxf>
    <dxf>
      <fill>
        <patternFill>
          <bgColor theme="5" tint="0.39994506668294322"/>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
      <fill>
        <patternFill>
          <bgColor theme="5" tint="0.39994506668294322"/>
        </patternFill>
      </fill>
    </dxf>
    <dxf>
      <fill>
        <patternFill>
          <bgColor theme="0"/>
        </patternFill>
      </fill>
    </dxf>
    <dxf>
      <fill>
        <patternFill>
          <bgColor theme="0" tint="-0.34998626667073579"/>
        </patternFill>
      </fill>
    </dxf>
    <dxf>
      <fill>
        <patternFill>
          <bgColor theme="9" tint="0.39994506668294322"/>
        </patternFill>
      </fill>
    </dxf>
    <dxf>
      <fill>
        <patternFill>
          <bgColor theme="5"/>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13.xml"/><Relationship Id="rId2" Type="http://schemas.microsoft.com/office/2011/relationships/chartColorStyle" Target="colors11.xml"/><Relationship Id="rId1" Type="http://schemas.microsoft.com/office/2011/relationships/chartStyle" Target="style11.xml"/></Relationships>
</file>

<file path=xl/charts/_rels/chart18.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15.xml"/><Relationship Id="rId2" Type="http://schemas.microsoft.com/office/2011/relationships/chartColorStyle" Target="colors13.xml"/><Relationship Id="rId1" Type="http://schemas.microsoft.com/office/2011/relationships/chartStyle" Target="style13.xml"/></Relationships>
</file>

<file path=xl/charts/_rels/chart21.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17.xml"/><Relationship Id="rId2" Type="http://schemas.microsoft.com/office/2011/relationships/chartColorStyle" Target="colors15.xml"/><Relationship Id="rId1" Type="http://schemas.microsoft.com/office/2011/relationships/chartStyle" Target="style15.xml"/></Relationships>
</file>

<file path=xl/charts/_rels/chart24.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7.xml"/><Relationship Id="rId1" Type="http://schemas.microsoft.com/office/2011/relationships/chartStyle" Target="style17.xml"/></Relationships>
</file>

<file path=xl/charts/_rels/chart27.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23.xml"/><Relationship Id="rId2" Type="http://schemas.microsoft.com/office/2011/relationships/chartColorStyle" Target="colors21.xml"/><Relationship Id="rId1" Type="http://schemas.microsoft.com/office/2011/relationships/chartStyle" Target="style21.xml"/></Relationships>
</file>

<file path=xl/charts/_rels/chart33.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23.xml"/><Relationship Id="rId1" Type="http://schemas.microsoft.com/office/2011/relationships/chartStyle" Target="style23.xml"/></Relationships>
</file>

<file path=xl/charts/_rels/chart36.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8.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25.xml"/><Relationship Id="rId1" Type="http://schemas.microsoft.com/office/2011/relationships/chartStyle" Target="style25.xml"/></Relationships>
</file>

<file path=xl/charts/_rels/chart39.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41.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27.xml"/><Relationship Id="rId1" Type="http://schemas.microsoft.com/office/2011/relationships/chartStyle" Target="style27.xml"/></Relationships>
</file>

<file path=xl/charts/_rels/chart42.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4.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29.xml"/><Relationship Id="rId1" Type="http://schemas.microsoft.com/office/2011/relationships/chartStyle" Target="style29.xml"/></Relationships>
</file>

<file path=xl/charts/_rels/chart45.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7.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31.xml"/><Relationship Id="rId1" Type="http://schemas.microsoft.com/office/2011/relationships/chartStyle" Target="style31.xml"/></Relationships>
</file>

<file path=xl/charts/_rels/chart48.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3.xml"/><Relationship Id="rId1" Type="http://schemas.microsoft.com/office/2011/relationships/chartStyle" Target="style3.xml"/></Relationships>
</file>

<file path=xl/charts/_rels/chart50.xml.rels><?xml version="1.0" encoding="UTF-8" standalone="yes"?>
<Relationships xmlns="http://schemas.openxmlformats.org/package/2006/relationships"><Relationship Id="rId3" Type="http://schemas.openxmlformats.org/officeDocument/2006/relationships/chartUserShapes" Target="../drawings/drawing35.xml"/><Relationship Id="rId2" Type="http://schemas.microsoft.com/office/2011/relationships/chartColorStyle" Target="colors33.xml"/><Relationship Id="rId1" Type="http://schemas.microsoft.com/office/2011/relationships/chartStyle" Target="style33.xml"/></Relationships>
</file>

<file path=xl/charts/_rels/chart51.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53.xml.rels><?xml version="1.0" encoding="UTF-8" standalone="yes"?>
<Relationships xmlns="http://schemas.openxmlformats.org/package/2006/relationships"><Relationship Id="rId3" Type="http://schemas.openxmlformats.org/officeDocument/2006/relationships/chartUserShapes" Target="../drawings/drawing37.xml"/><Relationship Id="rId2" Type="http://schemas.microsoft.com/office/2011/relationships/chartColorStyle" Target="colors35.xml"/><Relationship Id="rId1" Type="http://schemas.microsoft.com/office/2011/relationships/chartStyle" Target="style35.xml"/></Relationships>
</file>

<file path=xl/charts/_rels/chart54.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56.xml.rels><?xml version="1.0" encoding="UTF-8" standalone="yes"?>
<Relationships xmlns="http://schemas.openxmlformats.org/package/2006/relationships"><Relationship Id="rId3" Type="http://schemas.openxmlformats.org/officeDocument/2006/relationships/chartUserShapes" Target="../drawings/drawing39.xml"/><Relationship Id="rId2" Type="http://schemas.microsoft.com/office/2011/relationships/chartColorStyle" Target="colors37.xml"/><Relationship Id="rId1" Type="http://schemas.microsoft.com/office/2011/relationships/chartStyle" Target="style37.xml"/></Relationships>
</file>

<file path=xl/charts/_rels/chart57.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59.xml.rels><?xml version="1.0" encoding="UTF-8" standalone="yes"?>
<Relationships xmlns="http://schemas.openxmlformats.org/package/2006/relationships"><Relationship Id="rId3" Type="http://schemas.openxmlformats.org/officeDocument/2006/relationships/chartUserShapes" Target="../drawings/drawing41.xml"/><Relationship Id="rId2" Type="http://schemas.microsoft.com/office/2011/relationships/chartColorStyle" Target="colors39.xml"/><Relationship Id="rId1" Type="http://schemas.microsoft.com/office/2011/relationships/chartStyle" Target="style39.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7.xml"/><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'1'!$Q$14:$Q$37</c:f>
              <c:numCache>
                <c:formatCode>0.00</c:formatCode>
                <c:ptCount val="24"/>
                <c:pt idx="0">
                  <c:v>1.6027644450182785</c:v>
                </c:pt>
                <c:pt idx="1">
                  <c:v>0</c:v>
                </c:pt>
                <c:pt idx="2">
                  <c:v>0.74845330380213992</c:v>
                </c:pt>
                <c:pt idx="3">
                  <c:v>1.2351989096175402E-2</c:v>
                </c:pt>
                <c:pt idx="4">
                  <c:v>0.85525504098939453</c:v>
                </c:pt>
                <c:pt idx="5">
                  <c:v>0.39901184087230657</c:v>
                </c:pt>
                <c:pt idx="6">
                  <c:v>3.9153488372093026</c:v>
                </c:pt>
                <c:pt idx="7">
                  <c:v>-0.79978503029118619</c:v>
                </c:pt>
                <c:pt idx="8">
                  <c:v>-0.91551651095899578</c:v>
                </c:pt>
                <c:pt idx="9">
                  <c:v>-1.5206723090982071</c:v>
                </c:pt>
                <c:pt idx="10">
                  <c:v>0.83108326387033193</c:v>
                </c:pt>
                <c:pt idx="11">
                  <c:v>-0.52052046355118908</c:v>
                </c:pt>
                <c:pt idx="12">
                  <c:v>1.3198494289421534</c:v>
                </c:pt>
                <c:pt idx="13">
                  <c:v>0.4728401811121854</c:v>
                </c:pt>
                <c:pt idx="14">
                  <c:v>2.6949882414423838</c:v>
                </c:pt>
                <c:pt idx="15">
                  <c:v>2.1840876885888143</c:v>
                </c:pt>
                <c:pt idx="16">
                  <c:v>-0.32182928250859705</c:v>
                </c:pt>
                <c:pt idx="17">
                  <c:v>0.40628340314892447</c:v>
                </c:pt>
                <c:pt idx="18">
                  <c:v>9.9163550071191313</c:v>
                </c:pt>
                <c:pt idx="19">
                  <c:v>9.6619601328903659</c:v>
                </c:pt>
                <c:pt idx="20">
                  <c:v>6.0800110741971229</c:v>
                </c:pt>
                <c:pt idx="21">
                  <c:v>0.98228729978797047</c:v>
                </c:pt>
                <c:pt idx="22">
                  <c:v>-1.7450535603026736</c:v>
                </c:pt>
                <c:pt idx="23">
                  <c:v>0.86374189134191404</c:v>
                </c:pt>
              </c:numCache>
            </c:numRef>
          </c:val>
          <c:extLst>
            <c:ext xmlns:c16="http://schemas.microsoft.com/office/drawing/2014/chart" uri="{C3380CC4-5D6E-409C-BE32-E72D297353CC}">
              <c16:uniqueId val="{00000002-8EA0-8044-A4A5-A154042B8151}"/>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'4'!$N$14:$N$37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'4'!$Q$14:$Q$37</c:f>
              <c:numCache>
                <c:formatCode>0.00</c:formatCode>
                <c:ptCount val="24"/>
                <c:pt idx="0">
                  <c:v>1.8921076421843641</c:v>
                </c:pt>
                <c:pt idx="1">
                  <c:v>0</c:v>
                </c:pt>
                <c:pt idx="2">
                  <c:v>0</c:v>
                </c:pt>
                <c:pt idx="3">
                  <c:v>0</c:v>
                </c:pt>
                <c:pt idx="4">
                  <c:v>3.7732761392634573</c:v>
                </c:pt>
                <c:pt idx="5">
                  <c:v>0.9187340535258679</c:v>
                </c:pt>
                <c:pt idx="6">
                  <c:v>3.8064220183486253</c:v>
                </c:pt>
                <c:pt idx="7">
                  <c:v>-0.156242129879474</c:v>
                </c:pt>
                <c:pt idx="8">
                  <c:v>2.4925805061264712</c:v>
                </c:pt>
                <c:pt idx="9">
                  <c:v>0.61501694142433794</c:v>
                </c:pt>
                <c:pt idx="10">
                  <c:v>-0.24243091732105665</c:v>
                </c:pt>
                <c:pt idx="11">
                  <c:v>1.2543857925858994</c:v>
                </c:pt>
                <c:pt idx="12">
                  <c:v>0.96737147432111514</c:v>
                </c:pt>
                <c:pt idx="13">
                  <c:v>1.6444728319075101</c:v>
                </c:pt>
                <c:pt idx="14">
                  <c:v>3.3711232518984318</c:v>
                </c:pt>
                <c:pt idx="15">
                  <c:v>1.8272883715322317</c:v>
                </c:pt>
                <c:pt idx="16">
                  <c:v>0.60219834755083612</c:v>
                </c:pt>
                <c:pt idx="17">
                  <c:v>1.4181225900811072</c:v>
                </c:pt>
                <c:pt idx="18">
                  <c:v>0.51851463521188634</c:v>
                </c:pt>
                <c:pt idx="19">
                  <c:v>1.8382481432940172</c:v>
                </c:pt>
                <c:pt idx="20">
                  <c:v>-5.9552497451579978</c:v>
                </c:pt>
                <c:pt idx="21">
                  <c:v>-1.5931195451031053</c:v>
                </c:pt>
                <c:pt idx="22">
                  <c:v>0.21118470319186755</c:v>
                </c:pt>
                <c:pt idx="23">
                  <c:v>0.72324593876150645</c:v>
                </c:pt>
              </c:numCache>
            </c:numRef>
          </c:val>
          <c:extLst>
            <c:ext xmlns:c16="http://schemas.microsoft.com/office/drawing/2014/chart" uri="{C3380CC4-5D6E-409C-BE32-E72D297353CC}">
              <c16:uniqueId val="{00000000-680D-204D-BB11-7A10687B1F77}"/>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'4'!$P$49:$P$50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59AB-4A44-ACCA-BD2A2AF902F1}"/>
              </c:ext>
            </c:extLst>
          </c:dPt>
          <c:xVal>
            <c:numRef>
              <c:f>'4'!$O$43</c:f>
              <c:numCache>
                <c:formatCode>0.0</c:formatCode>
                <c:ptCount val="1"/>
                <c:pt idx="0">
                  <c:v>-6.702107453947284</c:v>
                </c:pt>
              </c:numCache>
            </c:numRef>
          </c:xVal>
          <c:yVal>
            <c:numRef>
              <c:f>'4'!$O$44</c:f>
              <c:numCache>
                <c:formatCode>0.0</c:formatCode>
                <c:ptCount val="1"/>
                <c:pt idx="0">
                  <c:v>-0.9485892350273053</c:v>
                </c:pt>
              </c:numCache>
            </c:numRef>
          </c:yVal>
          <c:smooth val="0"/>
          <c:extLst>
            <c:ext xmlns:c16="http://schemas.microsoft.com/office/drawing/2014/chart" uri="{C3380CC4-5D6E-409C-BE32-E72D297353CC}">
              <c16:uniqueId val="{00000001-59AB-4A44-ACCA-BD2A2AF902F1}"/>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59AB-4A44-ACCA-BD2A2AF902F1}"/>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59AB-4A44-ACCA-BD2A2AF902F1}"/>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59AB-4A44-ACCA-BD2A2AF902F1}"/>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056-9745-9481-84848386FDB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056-9745-9481-84848386FDB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056-9745-9481-84848386FDB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056-9745-9481-84848386FDB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056-9745-9481-84848386FDB0}"/>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'4'!$N$58:$N$61</c:f>
              <c:strCache>
                <c:ptCount val="4"/>
                <c:pt idx="0">
                  <c:v>Masa Muscular - Lee</c:v>
                </c:pt>
                <c:pt idx="1">
                  <c:v>Masa Ósea - Rocha</c:v>
                </c:pt>
                <c:pt idx="2">
                  <c:v>Masa Residual</c:v>
                </c:pt>
                <c:pt idx="3">
                  <c:v>Masa Adiposa - Kerr</c:v>
                </c:pt>
              </c:strCache>
            </c:strRef>
          </c:cat>
          <c:val>
            <c:numRef>
              <c:f>'4'!$P$58:$P$61</c:f>
              <c:numCache>
                <c:formatCode>0.00\ "kg"</c:formatCode>
                <c:ptCount val="4"/>
                <c:pt idx="0">
                  <c:v>19.506191912717295</c:v>
                </c:pt>
                <c:pt idx="1">
                  <c:v>7.7599928149639279</c:v>
                </c:pt>
                <c:pt idx="2">
                  <c:v>15.576092270153564</c:v>
                </c:pt>
                <c:pt idx="3">
                  <c:v>28.857723002165212</c:v>
                </c:pt>
              </c:numCache>
            </c:numRef>
          </c:val>
          <c:extLst>
            <c:ext xmlns:c16="http://schemas.microsoft.com/office/drawing/2014/chart" uri="{C3380CC4-5D6E-409C-BE32-E72D297353CC}">
              <c16:uniqueId val="{0000000A-A056-9745-9481-84848386FDB0}"/>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'5'!$N$14:$N$37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'5'!$Q$14:$Q$37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0C22-8F4C-A38F-5218BDFA91E0}"/>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'5'!$P$49:$P$50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9A8E-384C-93FF-DAEAFF878517}"/>
              </c:ext>
            </c:extLst>
          </c:dPt>
          <c:xVal>
            <c:strRef>
              <c:f>'5'!$O$43</c:f>
              <c:strCache>
                <c:ptCount val="1"/>
                <c:pt idx="0">
                  <c:v>-</c:v>
                </c:pt>
              </c:strCache>
            </c:strRef>
          </c:xVal>
          <c:yVal>
            <c:numRef>
              <c:f>'5'!$O$44</c:f>
              <c:numCache>
                <c:formatCode>0.0</c:formatCode>
                <c:ptCount val="1"/>
                <c:pt idx="0">
                  <c:v>0</c:v>
                </c:pt>
              </c:numCache>
            </c:numRef>
          </c:yVal>
          <c:smooth val="0"/>
          <c:extLst>
            <c:ext xmlns:c16="http://schemas.microsoft.com/office/drawing/2014/chart" uri="{C3380CC4-5D6E-409C-BE32-E72D297353CC}">
              <c16:uniqueId val="{00000001-9A8E-384C-93FF-DAEAFF878517}"/>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9A8E-384C-93FF-DAEAFF878517}"/>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9A8E-384C-93FF-DAEAFF878517}"/>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9A8E-384C-93FF-DAEAFF878517}"/>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E27-4D40-B73B-BA68234394D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E27-4D40-B73B-BA68234394D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E27-4D40-B73B-BA68234394D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E27-4D40-B73B-BA68234394D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E27-4D40-B73B-BA68234394D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'5'!$N$58:$N$61</c:f>
              <c:strCache>
                <c:ptCount val="4"/>
                <c:pt idx="0">
                  <c:v>Masa Muscular - Lee</c:v>
                </c:pt>
                <c:pt idx="1">
                  <c:v>Masa Ósea - Rocha</c:v>
                </c:pt>
                <c:pt idx="2">
                  <c:v>Masa Residual</c:v>
                </c:pt>
                <c:pt idx="3">
                  <c:v>Masa Adiposa - Kerr</c:v>
                </c:pt>
              </c:strCache>
            </c:strRef>
          </c:cat>
          <c:val>
            <c:numRef>
              <c:f>'5'!$P$58:$P$61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1E27-4D40-B73B-BA68234394D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'6'!$N$14:$N$37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'6'!$Q$14:$Q$37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1C04-124E-99D1-10B5EC38BC41}"/>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'6'!$P$49:$P$50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0AA9-5943-A298-60FD3BF66EE4}"/>
              </c:ext>
            </c:extLst>
          </c:dPt>
          <c:xVal>
            <c:strRef>
              <c:f>'6'!$O$43</c:f>
              <c:strCache>
                <c:ptCount val="1"/>
                <c:pt idx="0">
                  <c:v>-</c:v>
                </c:pt>
              </c:strCache>
            </c:strRef>
          </c:xVal>
          <c:yVal>
            <c:numRef>
              <c:f>'6'!$O$44</c:f>
              <c:numCache>
                <c:formatCode>0.0</c:formatCode>
                <c:ptCount val="1"/>
                <c:pt idx="0">
                  <c:v>0</c:v>
                </c:pt>
              </c:numCache>
            </c:numRef>
          </c:yVal>
          <c:smooth val="0"/>
          <c:extLst>
            <c:ext xmlns:c16="http://schemas.microsoft.com/office/drawing/2014/chart" uri="{C3380CC4-5D6E-409C-BE32-E72D297353CC}">
              <c16:uniqueId val="{00000001-0AA9-5943-A298-60FD3BF66EE4}"/>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0AA9-5943-A298-60FD3BF66EE4}"/>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0AA9-5943-A298-60FD3BF66EE4}"/>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0AA9-5943-A298-60FD3BF66EE4}"/>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41C-214A-B5A1-845AC7AE2D3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41C-214A-B5A1-845AC7AE2D3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041C-214A-B5A1-845AC7AE2D3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041C-214A-B5A1-845AC7AE2D3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041C-214A-B5A1-845AC7AE2D3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'6'!$N$58:$N$61</c:f>
              <c:strCache>
                <c:ptCount val="4"/>
                <c:pt idx="0">
                  <c:v>Masa Muscular - Lee</c:v>
                </c:pt>
                <c:pt idx="1">
                  <c:v>Masa Ósea - Rocha</c:v>
                </c:pt>
                <c:pt idx="2">
                  <c:v>Masa Residual</c:v>
                </c:pt>
                <c:pt idx="3">
                  <c:v>Masa Adiposa - Kerr</c:v>
                </c:pt>
              </c:strCache>
            </c:strRef>
          </c:cat>
          <c:val>
            <c:numRef>
              <c:f>'6'!$P$58:$P$61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041C-214A-B5A1-845AC7AE2D3A}"/>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'7'!$N$14:$N$37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'7'!$Q$14:$Q$37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7ED0-2B41-BC65-FDCB76C1F4D1}"/>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7A21-B141-A336-26DC911FD947}"/>
              </c:ext>
            </c:extLst>
          </c:dPt>
          <c:xVal>
            <c:numRef>
              <c:f>'1'!$O$43</c:f>
              <c:numCache>
                <c:formatCode>0.0</c:formatCode>
                <c:ptCount val="1"/>
                <c:pt idx="0">
                  <c:v>-4.2050273072965272</c:v>
                </c:pt>
              </c:numCache>
            </c:numRef>
          </c:xVal>
          <c:yVal>
            <c:numRef>
              <c:f>'1'!$O$44</c:f>
              <c:numCache>
                <c:formatCode>0.0</c:formatCode>
                <c:ptCount val="1"/>
                <c:pt idx="0">
                  <c:v>11.546849964323412</c:v>
                </c:pt>
              </c:numCache>
            </c:numRef>
          </c:yVal>
          <c:smooth val="0"/>
          <c:extLst>
            <c:ext xmlns:c16="http://schemas.microsoft.com/office/drawing/2014/chart" uri="{C3380CC4-5D6E-409C-BE32-E72D297353CC}">
              <c16:uniqueId val="{00000001-7A21-B141-A336-26DC911FD947}"/>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7A21-B141-A336-26DC911FD947}"/>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7A21-B141-A336-26DC911FD947}"/>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7A21-B141-A336-26DC911FD947}"/>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'7'!$P$49:$P$50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E69B-2D44-B4D7-6C8FD1B7ADA3}"/>
              </c:ext>
            </c:extLst>
          </c:dPt>
          <c:xVal>
            <c:strRef>
              <c:f>'7'!$O$43</c:f>
              <c:strCache>
                <c:ptCount val="1"/>
                <c:pt idx="0">
                  <c:v>-</c:v>
                </c:pt>
              </c:strCache>
            </c:strRef>
          </c:xVal>
          <c:yVal>
            <c:numRef>
              <c:f>'7'!$O$44</c:f>
              <c:numCache>
                <c:formatCode>0.0</c:formatCode>
                <c:ptCount val="1"/>
                <c:pt idx="0">
                  <c:v>0</c:v>
                </c:pt>
              </c:numCache>
            </c:numRef>
          </c:yVal>
          <c:smooth val="0"/>
          <c:extLst>
            <c:ext xmlns:c16="http://schemas.microsoft.com/office/drawing/2014/chart" uri="{C3380CC4-5D6E-409C-BE32-E72D297353CC}">
              <c16:uniqueId val="{00000001-E69B-2D44-B4D7-6C8FD1B7ADA3}"/>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E69B-2D44-B4D7-6C8FD1B7ADA3}"/>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E69B-2D44-B4D7-6C8FD1B7ADA3}"/>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E69B-2D44-B4D7-6C8FD1B7ADA3}"/>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195-394B-BE50-09A8F19776A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195-394B-BE50-09A8F19776A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195-394B-BE50-09A8F19776A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195-394B-BE50-09A8F19776A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195-394B-BE50-09A8F19776A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'7'!$N$58:$N$61</c:f>
              <c:strCache>
                <c:ptCount val="4"/>
                <c:pt idx="0">
                  <c:v>Masa Muscular - Lee</c:v>
                </c:pt>
                <c:pt idx="1">
                  <c:v>Masa Ósea - Rocha</c:v>
                </c:pt>
                <c:pt idx="2">
                  <c:v>Masa Residual</c:v>
                </c:pt>
                <c:pt idx="3">
                  <c:v>Masa Adiposa - Kerr</c:v>
                </c:pt>
              </c:strCache>
            </c:strRef>
          </c:cat>
          <c:val>
            <c:numRef>
              <c:f>'7'!$P$58:$P$61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1195-394B-BE50-09A8F19776A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'8'!$N$14:$N$37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'8'!$Q$14:$Q$37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18D1-6F40-B9A0-1788A4EC67A2}"/>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'8'!$P$49:$P$50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F57A-B24B-B0A5-E4C017D58596}"/>
              </c:ext>
            </c:extLst>
          </c:dPt>
          <c:xVal>
            <c:strRef>
              <c:f>'8'!$O$43</c:f>
              <c:strCache>
                <c:ptCount val="1"/>
                <c:pt idx="0">
                  <c:v>-</c:v>
                </c:pt>
              </c:strCache>
            </c:strRef>
          </c:xVal>
          <c:yVal>
            <c:numRef>
              <c:f>'8'!$O$44</c:f>
              <c:numCache>
                <c:formatCode>0.0</c:formatCode>
                <c:ptCount val="1"/>
                <c:pt idx="0">
                  <c:v>0</c:v>
                </c:pt>
              </c:numCache>
            </c:numRef>
          </c:yVal>
          <c:smooth val="0"/>
          <c:extLst>
            <c:ext xmlns:c16="http://schemas.microsoft.com/office/drawing/2014/chart" uri="{C3380CC4-5D6E-409C-BE32-E72D297353CC}">
              <c16:uniqueId val="{00000001-F57A-B24B-B0A5-E4C017D58596}"/>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F57A-B24B-B0A5-E4C017D58596}"/>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F57A-B24B-B0A5-E4C017D58596}"/>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F57A-B24B-B0A5-E4C017D58596}"/>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FCD-A84B-B989-AA598CE715A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FCD-A84B-B989-AA598CE715A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FCD-A84B-B989-AA598CE715A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FCD-A84B-B989-AA598CE715A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FCD-A84B-B989-AA598CE715A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'8'!$N$58:$N$61</c:f>
              <c:strCache>
                <c:ptCount val="4"/>
                <c:pt idx="0">
                  <c:v>Masa Muscular - Lee</c:v>
                </c:pt>
                <c:pt idx="1">
                  <c:v>Masa Ósea - Rocha</c:v>
                </c:pt>
                <c:pt idx="2">
                  <c:v>Masa Residual</c:v>
                </c:pt>
                <c:pt idx="3">
                  <c:v>Masa Adiposa - Kerr</c:v>
                </c:pt>
              </c:strCache>
            </c:strRef>
          </c:cat>
          <c:val>
            <c:numRef>
              <c:f>'8'!$P$58:$P$61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8FCD-A84B-B989-AA598CE715A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'9'!$N$14:$N$37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'9'!$Q$14:$Q$37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98A5-D649-AC5A-9CA262182C75}"/>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'9'!$P$49:$P$50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EE2F-5542-BF8B-37174E5807F0}"/>
              </c:ext>
            </c:extLst>
          </c:dPt>
          <c:xVal>
            <c:strRef>
              <c:f>'9'!$O$43</c:f>
              <c:strCache>
                <c:ptCount val="1"/>
                <c:pt idx="0">
                  <c:v>-</c:v>
                </c:pt>
              </c:strCache>
            </c:strRef>
          </c:xVal>
          <c:yVal>
            <c:numRef>
              <c:f>'9'!$O$44</c:f>
              <c:numCache>
                <c:formatCode>0.0</c:formatCode>
                <c:ptCount val="1"/>
                <c:pt idx="0">
                  <c:v>0</c:v>
                </c:pt>
              </c:numCache>
            </c:numRef>
          </c:yVal>
          <c:smooth val="0"/>
          <c:extLst>
            <c:ext xmlns:c16="http://schemas.microsoft.com/office/drawing/2014/chart" uri="{C3380CC4-5D6E-409C-BE32-E72D297353CC}">
              <c16:uniqueId val="{00000001-EE2F-5542-BF8B-37174E5807F0}"/>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EE2F-5542-BF8B-37174E5807F0}"/>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EE2F-5542-BF8B-37174E5807F0}"/>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EE2F-5542-BF8B-37174E5807F0}"/>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D41-F848-8F86-DA45B29D685F}"/>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D41-F848-8F86-DA45B29D685F}"/>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D41-F848-8F86-DA45B29D685F}"/>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D41-F848-8F86-DA45B29D685F}"/>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D41-F848-8F86-DA45B29D685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'9'!$N$58:$N$61</c:f>
              <c:strCache>
                <c:ptCount val="4"/>
                <c:pt idx="0">
                  <c:v>Masa Muscular - Lee</c:v>
                </c:pt>
                <c:pt idx="1">
                  <c:v>Masa Ósea - Rocha</c:v>
                </c:pt>
                <c:pt idx="2">
                  <c:v>Masa Residual</c:v>
                </c:pt>
                <c:pt idx="3">
                  <c:v>Masa Adiposa - Kerr</c:v>
                </c:pt>
              </c:strCache>
            </c:strRef>
          </c:cat>
          <c:val>
            <c:numRef>
              <c:f>'9'!$P$58:$P$61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DD41-F848-8F86-DA45B29D685F}"/>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'10'!$N$14:$N$37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'10'!$Q$14:$Q$37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F2EF-8941-854D-7035B84C4DA3}"/>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'10'!$P$49:$P$50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63C4-F44C-86B4-BC7AE987F1D6}"/>
              </c:ext>
            </c:extLst>
          </c:dPt>
          <c:xVal>
            <c:strRef>
              <c:f>'10'!$O$43</c:f>
              <c:strCache>
                <c:ptCount val="1"/>
                <c:pt idx="0">
                  <c:v>-</c:v>
                </c:pt>
              </c:strCache>
            </c:strRef>
          </c:xVal>
          <c:yVal>
            <c:numRef>
              <c:f>'10'!$O$44</c:f>
              <c:numCache>
                <c:formatCode>0.0</c:formatCode>
                <c:ptCount val="1"/>
                <c:pt idx="0">
                  <c:v>0</c:v>
                </c:pt>
              </c:numCache>
            </c:numRef>
          </c:yVal>
          <c:smooth val="0"/>
          <c:extLst>
            <c:ext xmlns:c16="http://schemas.microsoft.com/office/drawing/2014/chart" uri="{C3380CC4-5D6E-409C-BE32-E72D297353CC}">
              <c16:uniqueId val="{00000001-63C4-F44C-86B4-BC7AE987F1D6}"/>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63C4-F44C-86B4-BC7AE987F1D6}"/>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63C4-F44C-86B4-BC7AE987F1D6}"/>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63C4-F44C-86B4-BC7AE987F1D6}"/>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849-FC48-827D-2B082A9E01C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849-FC48-827D-2B082A9E01C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849-FC48-827D-2B082A9E01C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2849-FC48-827D-2B082A9E01C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2849-FC48-827D-2B082A9E01C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'1'!$N$58:$N$61</c:f>
              <c:strCache>
                <c:ptCount val="4"/>
                <c:pt idx="0">
                  <c:v>Masa Muscular - Lee</c:v>
                </c:pt>
                <c:pt idx="1">
                  <c:v>Masa Ósea - Rocha</c:v>
                </c:pt>
                <c:pt idx="2">
                  <c:v>Masa Residual</c:v>
                </c:pt>
                <c:pt idx="3">
                  <c:v>Masa Adiposa - Kerr</c:v>
                </c:pt>
              </c:strCache>
            </c:strRef>
          </c:cat>
          <c:val>
            <c:numRef>
              <c:f>'1'!$P$58:$P$61</c:f>
              <c:numCache>
                <c:formatCode>0.00\ "kg"</c:formatCode>
                <c:ptCount val="4"/>
                <c:pt idx="0">
                  <c:v>18.013897114945525</c:v>
                </c:pt>
                <c:pt idx="1">
                  <c:v>12.041124005700105</c:v>
                </c:pt>
                <c:pt idx="2">
                  <c:v>7.0895588461088153</c:v>
                </c:pt>
                <c:pt idx="3">
                  <c:v>17.055420033245561</c:v>
                </c:pt>
              </c:numCache>
            </c:numRef>
          </c:val>
          <c:extLst>
            <c:ext xmlns:c16="http://schemas.microsoft.com/office/drawing/2014/chart" uri="{C3380CC4-5D6E-409C-BE32-E72D297353CC}">
              <c16:uniqueId val="{00000000-A861-3847-AF85-87FAAEFF1476}"/>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0F-E44C-BC3A-534CF4D8A06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0F-E44C-BC3A-534CF4D8A06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0F-E44C-BC3A-534CF4D8A06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E0F-E44C-BC3A-534CF4D8A06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E0F-E44C-BC3A-534CF4D8A067}"/>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'10'!$N$58:$N$61</c:f>
              <c:strCache>
                <c:ptCount val="4"/>
                <c:pt idx="0">
                  <c:v>Masa Muscular - Lee</c:v>
                </c:pt>
                <c:pt idx="1">
                  <c:v>Masa Ósea - Rocha</c:v>
                </c:pt>
                <c:pt idx="2">
                  <c:v>Masa Residual</c:v>
                </c:pt>
                <c:pt idx="3">
                  <c:v>Masa Adiposa - Kerr</c:v>
                </c:pt>
              </c:strCache>
            </c:strRef>
          </c:cat>
          <c:val>
            <c:numRef>
              <c:f>'10'!$P$58:$P$61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AE0F-E44C-BC3A-534CF4D8A067}"/>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'11'!$N$14:$N$37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'11'!$Q$14:$Q$37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5803-8C40-A4A2-A77959B64E2E}"/>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'11'!$P$49:$P$50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F72F-204D-A375-E9802DAE5A7D}"/>
              </c:ext>
            </c:extLst>
          </c:dPt>
          <c:xVal>
            <c:strRef>
              <c:f>'11'!$O$43</c:f>
              <c:strCache>
                <c:ptCount val="1"/>
                <c:pt idx="0">
                  <c:v>-</c:v>
                </c:pt>
              </c:strCache>
            </c:strRef>
          </c:xVal>
          <c:yVal>
            <c:numRef>
              <c:f>'11'!$O$44</c:f>
              <c:numCache>
                <c:formatCode>0.0</c:formatCode>
                <c:ptCount val="1"/>
                <c:pt idx="0">
                  <c:v>0</c:v>
                </c:pt>
              </c:numCache>
            </c:numRef>
          </c:yVal>
          <c:smooth val="0"/>
          <c:extLst>
            <c:ext xmlns:c16="http://schemas.microsoft.com/office/drawing/2014/chart" uri="{C3380CC4-5D6E-409C-BE32-E72D297353CC}">
              <c16:uniqueId val="{00000001-F72F-204D-A375-E9802DAE5A7D}"/>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F72F-204D-A375-E9802DAE5A7D}"/>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F72F-204D-A375-E9802DAE5A7D}"/>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F72F-204D-A375-E9802DAE5A7D}"/>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1DC-DB46-B81C-28270E61B1B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1DC-DB46-B81C-28270E61B1B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1DC-DB46-B81C-28270E61B1B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1DC-DB46-B81C-28270E61B1B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1DC-DB46-B81C-28270E61B1B5}"/>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'11'!$N$58:$N$61</c:f>
              <c:strCache>
                <c:ptCount val="4"/>
                <c:pt idx="0">
                  <c:v>Masa Muscular - Lee</c:v>
                </c:pt>
                <c:pt idx="1">
                  <c:v>Masa Ósea - Rocha</c:v>
                </c:pt>
                <c:pt idx="2">
                  <c:v>Masa Residual</c:v>
                </c:pt>
                <c:pt idx="3">
                  <c:v>Masa Adiposa - Kerr</c:v>
                </c:pt>
              </c:strCache>
            </c:strRef>
          </c:cat>
          <c:val>
            <c:numRef>
              <c:f>'11'!$P$58:$P$61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91DC-DB46-B81C-28270E61B1B5}"/>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'12'!$N$14:$N$37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'12'!$Q$14:$Q$37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4C87-CF41-9D20-1F53439B45E7}"/>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'12'!$P$49:$P$50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05D0-ED42-BADD-92D13D4698A8}"/>
              </c:ext>
            </c:extLst>
          </c:dPt>
          <c:xVal>
            <c:strRef>
              <c:f>'12'!$O$43</c:f>
              <c:strCache>
                <c:ptCount val="1"/>
                <c:pt idx="0">
                  <c:v>-</c:v>
                </c:pt>
              </c:strCache>
            </c:strRef>
          </c:xVal>
          <c:yVal>
            <c:numRef>
              <c:f>'12'!$O$44</c:f>
              <c:numCache>
                <c:formatCode>0.0</c:formatCode>
                <c:ptCount val="1"/>
                <c:pt idx="0">
                  <c:v>0</c:v>
                </c:pt>
              </c:numCache>
            </c:numRef>
          </c:yVal>
          <c:smooth val="0"/>
          <c:extLst>
            <c:ext xmlns:c16="http://schemas.microsoft.com/office/drawing/2014/chart" uri="{C3380CC4-5D6E-409C-BE32-E72D297353CC}">
              <c16:uniqueId val="{00000001-05D0-ED42-BADD-92D13D4698A8}"/>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05D0-ED42-BADD-92D13D4698A8}"/>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05D0-ED42-BADD-92D13D4698A8}"/>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05D0-ED42-BADD-92D13D4698A8}"/>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A98-2F48-AD56-B8810CFCC53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A98-2F48-AD56-B8810CFCC53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A98-2F48-AD56-B8810CFCC53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A98-2F48-AD56-B8810CFCC53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A98-2F48-AD56-B8810CFCC53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'12'!$N$58:$N$61</c:f>
              <c:strCache>
                <c:ptCount val="4"/>
                <c:pt idx="0">
                  <c:v>Masa Muscular - Lee</c:v>
                </c:pt>
                <c:pt idx="1">
                  <c:v>Masa Ósea - Rocha</c:v>
                </c:pt>
                <c:pt idx="2">
                  <c:v>Masa Residual</c:v>
                </c:pt>
                <c:pt idx="3">
                  <c:v>Masa Adiposa - Kerr</c:v>
                </c:pt>
              </c:strCache>
            </c:strRef>
          </c:cat>
          <c:val>
            <c:numRef>
              <c:f>'12'!$P$58:$P$61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9A98-2F48-AD56-B8810CFCC53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'13'!$N$14:$N$37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'13'!$Q$14:$Q$37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6C81-7A40-A368-DB711AAFBE36}"/>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'13'!$P$49:$P$50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B114-514E-8B42-FEE8D84EC9B2}"/>
              </c:ext>
            </c:extLst>
          </c:dPt>
          <c:xVal>
            <c:strRef>
              <c:f>'13'!$O$43</c:f>
              <c:strCache>
                <c:ptCount val="1"/>
                <c:pt idx="0">
                  <c:v>-</c:v>
                </c:pt>
              </c:strCache>
            </c:strRef>
          </c:xVal>
          <c:yVal>
            <c:numRef>
              <c:f>'13'!$O$44</c:f>
              <c:numCache>
                <c:formatCode>0.0</c:formatCode>
                <c:ptCount val="1"/>
                <c:pt idx="0">
                  <c:v>0</c:v>
                </c:pt>
              </c:numCache>
            </c:numRef>
          </c:yVal>
          <c:smooth val="0"/>
          <c:extLst>
            <c:ext xmlns:c16="http://schemas.microsoft.com/office/drawing/2014/chart" uri="{C3380CC4-5D6E-409C-BE32-E72D297353CC}">
              <c16:uniqueId val="{00000001-B114-514E-8B42-FEE8D84EC9B2}"/>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B114-514E-8B42-FEE8D84EC9B2}"/>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B114-514E-8B42-FEE8D84EC9B2}"/>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B114-514E-8B42-FEE8D84EC9B2}"/>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021-6448-90A0-F1C61E4129A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021-6448-90A0-F1C61E4129A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021-6448-90A0-F1C61E4129A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3021-6448-90A0-F1C61E4129A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021-6448-90A0-F1C61E4129A1}"/>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'13'!$N$58:$N$61</c:f>
              <c:strCache>
                <c:ptCount val="4"/>
                <c:pt idx="0">
                  <c:v>Masa Muscular - Lee</c:v>
                </c:pt>
                <c:pt idx="1">
                  <c:v>Masa Ósea - Rocha</c:v>
                </c:pt>
                <c:pt idx="2">
                  <c:v>Masa Residual</c:v>
                </c:pt>
                <c:pt idx="3">
                  <c:v>Masa Adiposa - Kerr</c:v>
                </c:pt>
              </c:strCache>
            </c:strRef>
          </c:cat>
          <c:val>
            <c:numRef>
              <c:f>'13'!$P$58:$P$61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3021-6448-90A0-F1C61E4129A1}"/>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'2'!$N$14:$N$37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'2'!$Q$14:$Q$37</c:f>
              <c:numCache>
                <c:formatCode>0.00</c:formatCode>
                <c:ptCount val="24"/>
                <c:pt idx="0">
                  <c:v>5.4282210230843013</c:v>
                </c:pt>
                <c:pt idx="1">
                  <c:v>0</c:v>
                </c:pt>
                <c:pt idx="2">
                  <c:v>-7.2535443455308268E-3</c:v>
                </c:pt>
                <c:pt idx="3">
                  <c:v>0.59309137944153256</c:v>
                </c:pt>
                <c:pt idx="4">
                  <c:v>5.5925756278254664</c:v>
                </c:pt>
                <c:pt idx="5">
                  <c:v>10.352653357446783</c:v>
                </c:pt>
                <c:pt idx="6">
                  <c:v>6.6046884272997044</c:v>
                </c:pt>
                <c:pt idx="7">
                  <c:v>4.1321347530109982</c:v>
                </c:pt>
                <c:pt idx="8">
                  <c:v>7.6260729293210954</c:v>
                </c:pt>
                <c:pt idx="9">
                  <c:v>7.1205174952133232</c:v>
                </c:pt>
                <c:pt idx="10">
                  <c:v>5.6702063614763416</c:v>
                </c:pt>
                <c:pt idx="11">
                  <c:v>8.4686012746300356</c:v>
                </c:pt>
                <c:pt idx="12">
                  <c:v>4.280651036028579</c:v>
                </c:pt>
                <c:pt idx="13">
                  <c:v>3.7843343474940223</c:v>
                </c:pt>
                <c:pt idx="14">
                  <c:v>6.5364118294268705</c:v>
                </c:pt>
                <c:pt idx="15">
                  <c:v>5.0253395445795217</c:v>
                </c:pt>
                <c:pt idx="16">
                  <c:v>2.6744689989067632</c:v>
                </c:pt>
                <c:pt idx="17">
                  <c:v>4.8952754483292509</c:v>
                </c:pt>
                <c:pt idx="18">
                  <c:v>8.0335057227638842</c:v>
                </c:pt>
                <c:pt idx="19">
                  <c:v>12.774077999152187</c:v>
                </c:pt>
                <c:pt idx="20">
                  <c:v>9.624134520276959</c:v>
                </c:pt>
                <c:pt idx="21">
                  <c:v>1.111128525015479</c:v>
                </c:pt>
                <c:pt idx="22">
                  <c:v>-1.4666710988174283</c:v>
                </c:pt>
                <c:pt idx="23">
                  <c:v>-0.58979742979562721</c:v>
                </c:pt>
              </c:numCache>
            </c:numRef>
          </c:val>
          <c:extLst>
            <c:ext xmlns:c16="http://schemas.microsoft.com/office/drawing/2014/chart" uri="{C3380CC4-5D6E-409C-BE32-E72D297353CC}">
              <c16:uniqueId val="{00000000-B037-0844-8553-1B4AC78D5C01}"/>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'14'!$N$14:$N$37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'14'!$Q$14:$Q$37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4E58-9A4E-BB09-ECC6816F3F95}"/>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'14'!$P$49:$P$50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D31D-C247-9839-E911C75009DB}"/>
              </c:ext>
            </c:extLst>
          </c:dPt>
          <c:xVal>
            <c:strRef>
              <c:f>'14'!$O$43</c:f>
              <c:strCache>
                <c:ptCount val="1"/>
                <c:pt idx="0">
                  <c:v>-</c:v>
                </c:pt>
              </c:strCache>
            </c:strRef>
          </c:xVal>
          <c:yVal>
            <c:numRef>
              <c:f>'14'!$O$44</c:f>
              <c:numCache>
                <c:formatCode>0.0</c:formatCode>
                <c:ptCount val="1"/>
                <c:pt idx="0">
                  <c:v>0</c:v>
                </c:pt>
              </c:numCache>
            </c:numRef>
          </c:yVal>
          <c:smooth val="0"/>
          <c:extLst>
            <c:ext xmlns:c16="http://schemas.microsoft.com/office/drawing/2014/chart" uri="{C3380CC4-5D6E-409C-BE32-E72D297353CC}">
              <c16:uniqueId val="{00000001-D31D-C247-9839-E911C75009DB}"/>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D31D-C247-9839-E911C75009DB}"/>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D31D-C247-9839-E911C75009DB}"/>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D31D-C247-9839-E911C75009DB}"/>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B1-BA42-A31B-0418F4BB3AD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B1-BA42-A31B-0418F4BB3AD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B1-BA42-A31B-0418F4BB3AD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B1-BA42-A31B-0418F4BB3AD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3B1-BA42-A31B-0418F4BB3AD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'14'!$N$58:$N$61</c:f>
              <c:strCache>
                <c:ptCount val="4"/>
                <c:pt idx="0">
                  <c:v>Masa Muscular - Lee</c:v>
                </c:pt>
                <c:pt idx="1">
                  <c:v>Masa Ósea - Rocha</c:v>
                </c:pt>
                <c:pt idx="2">
                  <c:v>Masa Residual</c:v>
                </c:pt>
                <c:pt idx="3">
                  <c:v>Masa Adiposa - Kerr</c:v>
                </c:pt>
              </c:strCache>
            </c:strRef>
          </c:cat>
          <c:val>
            <c:numRef>
              <c:f>'14'!$P$58:$P$61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73B1-BA42-A31B-0418F4BB3AD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'15'!$N$14:$N$37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'15'!$Q$14:$Q$37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E508-D945-9146-32E271BD936A}"/>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'15'!$P$49:$P$50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EFFA-404C-9605-6CF95A4897A6}"/>
              </c:ext>
            </c:extLst>
          </c:dPt>
          <c:xVal>
            <c:strRef>
              <c:f>'15'!$O$43</c:f>
              <c:strCache>
                <c:ptCount val="1"/>
                <c:pt idx="0">
                  <c:v>-</c:v>
                </c:pt>
              </c:strCache>
            </c:strRef>
          </c:xVal>
          <c:yVal>
            <c:numRef>
              <c:f>'15'!$O$44</c:f>
              <c:numCache>
                <c:formatCode>0.0</c:formatCode>
                <c:ptCount val="1"/>
                <c:pt idx="0">
                  <c:v>0</c:v>
                </c:pt>
              </c:numCache>
            </c:numRef>
          </c:yVal>
          <c:smooth val="0"/>
          <c:extLst>
            <c:ext xmlns:c16="http://schemas.microsoft.com/office/drawing/2014/chart" uri="{C3380CC4-5D6E-409C-BE32-E72D297353CC}">
              <c16:uniqueId val="{00000001-EFFA-404C-9605-6CF95A4897A6}"/>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EFFA-404C-9605-6CF95A4897A6}"/>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EFFA-404C-9605-6CF95A4897A6}"/>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EFFA-404C-9605-6CF95A4897A6}"/>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830-7C4A-98EB-9D77BDC3A40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830-7C4A-98EB-9D77BDC3A40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830-7C4A-98EB-9D77BDC3A40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830-7C4A-98EB-9D77BDC3A40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830-7C4A-98EB-9D77BDC3A40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'15'!$N$58:$N$61</c:f>
              <c:strCache>
                <c:ptCount val="4"/>
                <c:pt idx="0">
                  <c:v>Masa Muscular - Lee</c:v>
                </c:pt>
                <c:pt idx="1">
                  <c:v>Masa Ósea - Rocha</c:v>
                </c:pt>
                <c:pt idx="2">
                  <c:v>Masa Residual</c:v>
                </c:pt>
                <c:pt idx="3">
                  <c:v>Masa Adiposa - Kerr</c:v>
                </c:pt>
              </c:strCache>
            </c:strRef>
          </c:cat>
          <c:val>
            <c:numRef>
              <c:f>'15'!$P$58:$P$61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6830-7C4A-98EB-9D77BDC3A40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'16'!$N$14:$N$37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'16'!$Q$14:$Q$37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78BF-CF49-A1D8-B1D82C070EF2}"/>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'16'!$P$49:$P$50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5CA9-CA44-A9E2-4C7A22BC8D95}"/>
              </c:ext>
            </c:extLst>
          </c:dPt>
          <c:xVal>
            <c:strRef>
              <c:f>'16'!$O$43</c:f>
              <c:strCache>
                <c:ptCount val="1"/>
                <c:pt idx="0">
                  <c:v>-</c:v>
                </c:pt>
              </c:strCache>
            </c:strRef>
          </c:xVal>
          <c:yVal>
            <c:numRef>
              <c:f>'16'!$O$44</c:f>
              <c:numCache>
                <c:formatCode>0.0</c:formatCode>
                <c:ptCount val="1"/>
                <c:pt idx="0">
                  <c:v>0</c:v>
                </c:pt>
              </c:numCache>
            </c:numRef>
          </c:yVal>
          <c:smooth val="0"/>
          <c:extLst>
            <c:ext xmlns:c16="http://schemas.microsoft.com/office/drawing/2014/chart" uri="{C3380CC4-5D6E-409C-BE32-E72D297353CC}">
              <c16:uniqueId val="{00000001-5CA9-CA44-A9E2-4C7A22BC8D95}"/>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5CA9-CA44-A9E2-4C7A22BC8D95}"/>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5CA9-CA44-A9E2-4C7A22BC8D95}"/>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5CA9-CA44-A9E2-4C7A22BC8D95}"/>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A5F-CD43-88B7-8E2ABCA0C1C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A5F-CD43-88B7-8E2ABCA0C1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A5F-CD43-88B7-8E2ABCA0C1CE}"/>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A5F-CD43-88B7-8E2ABCA0C1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A5F-CD43-88B7-8E2ABCA0C1CE}"/>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'16'!$N$58:$N$61</c:f>
              <c:strCache>
                <c:ptCount val="4"/>
                <c:pt idx="0">
                  <c:v>Masa Muscular - Lee</c:v>
                </c:pt>
                <c:pt idx="1">
                  <c:v>Masa Ósea - Rocha</c:v>
                </c:pt>
                <c:pt idx="2">
                  <c:v>Masa Residual</c:v>
                </c:pt>
                <c:pt idx="3">
                  <c:v>Masa Adiposa - Kerr</c:v>
                </c:pt>
              </c:strCache>
            </c:strRef>
          </c:cat>
          <c:val>
            <c:numRef>
              <c:f>'16'!$P$58:$P$61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4A5F-CD43-88B7-8E2ABCA0C1CE}"/>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'17'!$N$14:$N$37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'17'!$Q$14:$Q$37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4901-4441-ABA2-DFF94F0F620D}"/>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'2'!$P$49:$P$50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B03A-1544-B02D-1954DAB1E5DA}"/>
              </c:ext>
            </c:extLst>
          </c:dPt>
          <c:xVal>
            <c:numRef>
              <c:f>'2'!$O$43</c:f>
              <c:numCache>
                <c:formatCode>0.0</c:formatCode>
                <c:ptCount val="1"/>
                <c:pt idx="0">
                  <c:v>-10.709325861158201</c:v>
                </c:pt>
              </c:numCache>
            </c:numRef>
          </c:xVal>
          <c:yVal>
            <c:numRef>
              <c:f>'2'!$O$44</c:f>
              <c:numCache>
                <c:formatCode>0.0</c:formatCode>
                <c:ptCount val="1"/>
                <c:pt idx="0">
                  <c:v>12.399974138841801</c:v>
                </c:pt>
              </c:numCache>
            </c:numRef>
          </c:yVal>
          <c:smooth val="0"/>
          <c:extLst>
            <c:ext xmlns:c16="http://schemas.microsoft.com/office/drawing/2014/chart" uri="{C3380CC4-5D6E-409C-BE32-E72D297353CC}">
              <c16:uniqueId val="{00000001-B03A-1544-B02D-1954DAB1E5DA}"/>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B03A-1544-B02D-1954DAB1E5DA}"/>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B03A-1544-B02D-1954DAB1E5DA}"/>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B03A-1544-B02D-1954DAB1E5DA}"/>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'17'!$P$49:$P$50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41AC-4C43-A5E0-34F304F693D4}"/>
              </c:ext>
            </c:extLst>
          </c:dPt>
          <c:xVal>
            <c:strRef>
              <c:f>'17'!$O$43</c:f>
              <c:strCache>
                <c:ptCount val="1"/>
                <c:pt idx="0">
                  <c:v>-</c:v>
                </c:pt>
              </c:strCache>
            </c:strRef>
          </c:xVal>
          <c:yVal>
            <c:numRef>
              <c:f>'17'!$O$44</c:f>
              <c:numCache>
                <c:formatCode>0.0</c:formatCode>
                <c:ptCount val="1"/>
                <c:pt idx="0">
                  <c:v>0</c:v>
                </c:pt>
              </c:numCache>
            </c:numRef>
          </c:yVal>
          <c:smooth val="0"/>
          <c:extLst>
            <c:ext xmlns:c16="http://schemas.microsoft.com/office/drawing/2014/chart" uri="{C3380CC4-5D6E-409C-BE32-E72D297353CC}">
              <c16:uniqueId val="{00000001-41AC-4C43-A5E0-34F304F693D4}"/>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41AC-4C43-A5E0-34F304F693D4}"/>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41AC-4C43-A5E0-34F304F693D4}"/>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41AC-4C43-A5E0-34F304F693D4}"/>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314-7343-9641-361F0677198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314-7343-9641-361F0677198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314-7343-9641-361F0677198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314-7343-9641-361F0677198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314-7343-9641-361F0677198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'17'!$N$58:$N$61</c:f>
              <c:strCache>
                <c:ptCount val="4"/>
                <c:pt idx="0">
                  <c:v>Masa Muscular - Lee</c:v>
                </c:pt>
                <c:pt idx="1">
                  <c:v>Masa Ósea - Rocha</c:v>
                </c:pt>
                <c:pt idx="2">
                  <c:v>Masa Residual</c:v>
                </c:pt>
                <c:pt idx="3">
                  <c:v>Masa Adiposa - Kerr</c:v>
                </c:pt>
              </c:strCache>
            </c:strRef>
          </c:cat>
          <c:val>
            <c:numRef>
              <c:f>'17'!$P$58:$P$61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F314-7343-9641-361F06771984}"/>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'18'!$N$14:$N$37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'18'!$Q$14:$Q$37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7950-9C41-8F9E-CC8E354E5ACB}"/>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'18'!$P$49:$P$50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6A8A-2D4C-8208-14F05F416842}"/>
              </c:ext>
            </c:extLst>
          </c:dPt>
          <c:xVal>
            <c:strRef>
              <c:f>'18'!$O$43</c:f>
              <c:strCache>
                <c:ptCount val="1"/>
                <c:pt idx="0">
                  <c:v>-</c:v>
                </c:pt>
              </c:strCache>
            </c:strRef>
          </c:xVal>
          <c:yVal>
            <c:numRef>
              <c:f>'18'!$O$44</c:f>
              <c:numCache>
                <c:formatCode>0.0</c:formatCode>
                <c:ptCount val="1"/>
                <c:pt idx="0">
                  <c:v>0</c:v>
                </c:pt>
              </c:numCache>
            </c:numRef>
          </c:yVal>
          <c:smooth val="0"/>
          <c:extLst>
            <c:ext xmlns:c16="http://schemas.microsoft.com/office/drawing/2014/chart" uri="{C3380CC4-5D6E-409C-BE32-E72D297353CC}">
              <c16:uniqueId val="{00000001-6A8A-2D4C-8208-14F05F416842}"/>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6A8A-2D4C-8208-14F05F416842}"/>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6A8A-2D4C-8208-14F05F416842}"/>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6A8A-2D4C-8208-14F05F416842}"/>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7E-6048-AFDA-A9EFE42237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7E-6048-AFDA-A9EFE42237D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7E-6048-AFDA-A9EFE42237D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7E-6048-AFDA-A9EFE42237D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7E-6048-AFDA-A9EFE42237D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'18'!$N$58:$N$61</c:f>
              <c:strCache>
                <c:ptCount val="4"/>
                <c:pt idx="0">
                  <c:v>Masa Muscular - Lee</c:v>
                </c:pt>
                <c:pt idx="1">
                  <c:v>Masa Ósea - Rocha</c:v>
                </c:pt>
                <c:pt idx="2">
                  <c:v>Masa Residual</c:v>
                </c:pt>
                <c:pt idx="3">
                  <c:v>Masa Adiposa - Kerr</c:v>
                </c:pt>
              </c:strCache>
            </c:strRef>
          </c:cat>
          <c:val>
            <c:numRef>
              <c:f>'18'!$P$58:$P$61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B27E-6048-AFDA-A9EFE42237D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'19'!$N$14:$N$37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'19'!$Q$14:$Q$37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138B-C945-9A13-B25932BAA2F5}"/>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'19'!$P$49:$P$50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8283-A54A-9CC2-38CC58D03036}"/>
              </c:ext>
            </c:extLst>
          </c:dPt>
          <c:xVal>
            <c:strRef>
              <c:f>'19'!$O$43</c:f>
              <c:strCache>
                <c:ptCount val="1"/>
                <c:pt idx="0">
                  <c:v>-</c:v>
                </c:pt>
              </c:strCache>
            </c:strRef>
          </c:xVal>
          <c:yVal>
            <c:numRef>
              <c:f>'19'!$O$44</c:f>
              <c:numCache>
                <c:formatCode>0.0</c:formatCode>
                <c:ptCount val="1"/>
                <c:pt idx="0">
                  <c:v>0</c:v>
                </c:pt>
              </c:numCache>
            </c:numRef>
          </c:yVal>
          <c:smooth val="0"/>
          <c:extLst>
            <c:ext xmlns:c16="http://schemas.microsoft.com/office/drawing/2014/chart" uri="{C3380CC4-5D6E-409C-BE32-E72D297353CC}">
              <c16:uniqueId val="{00000001-8283-A54A-9CC2-38CC58D03036}"/>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8283-A54A-9CC2-38CC58D03036}"/>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8283-A54A-9CC2-38CC58D03036}"/>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8283-A54A-9CC2-38CC58D03036}"/>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A10-114E-B9F6-9F70FE3CF30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A10-114E-B9F6-9F70FE3CF30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A10-114E-B9F6-9F70FE3CF30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A10-114E-B9F6-9F70FE3CF30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A10-114E-B9F6-9F70FE3CF30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'19'!$N$58:$N$61</c:f>
              <c:strCache>
                <c:ptCount val="4"/>
                <c:pt idx="0">
                  <c:v>Masa Muscular - Lee</c:v>
                </c:pt>
                <c:pt idx="1">
                  <c:v>Masa Ósea - Rocha</c:v>
                </c:pt>
                <c:pt idx="2">
                  <c:v>Masa Residual</c:v>
                </c:pt>
                <c:pt idx="3">
                  <c:v>Masa Adiposa - Kerr</c:v>
                </c:pt>
              </c:strCache>
            </c:strRef>
          </c:cat>
          <c:val>
            <c:numRef>
              <c:f>'19'!$P$58:$P$61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7A10-114E-B9F6-9F70FE3CF308}"/>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'20'!$N$14:$N$37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'20'!$Q$14:$Q$37</c:f>
              <c:numCache>
                <c:formatCode>0.00</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extLst>
            <c:ext xmlns:c16="http://schemas.microsoft.com/office/drawing/2014/chart" uri="{C3380CC4-5D6E-409C-BE32-E72D297353CC}">
              <c16:uniqueId val="{00000000-DFFC-A54D-89ED-F3C538D89D7B}"/>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'20'!$P$49:$P$50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4422-3D44-B2B6-6A5B4BC9D142}"/>
              </c:ext>
            </c:extLst>
          </c:dPt>
          <c:xVal>
            <c:strRef>
              <c:f>'20'!$O$43</c:f>
              <c:strCache>
                <c:ptCount val="1"/>
                <c:pt idx="0">
                  <c:v>-</c:v>
                </c:pt>
              </c:strCache>
            </c:strRef>
          </c:xVal>
          <c:yVal>
            <c:numRef>
              <c:f>'20'!$O$44</c:f>
              <c:numCache>
                <c:formatCode>0.0</c:formatCode>
                <c:ptCount val="1"/>
                <c:pt idx="0">
                  <c:v>0</c:v>
                </c:pt>
              </c:numCache>
            </c:numRef>
          </c:yVal>
          <c:smooth val="0"/>
          <c:extLst>
            <c:ext xmlns:c16="http://schemas.microsoft.com/office/drawing/2014/chart" uri="{C3380CC4-5D6E-409C-BE32-E72D297353CC}">
              <c16:uniqueId val="{00000001-4422-3D44-B2B6-6A5B4BC9D142}"/>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4422-3D44-B2B6-6A5B4BC9D142}"/>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4422-3D44-B2B6-6A5B4BC9D142}"/>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4422-3D44-B2B6-6A5B4BC9D142}"/>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16E-C542-B588-9D0B1B52E91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16E-C542-B588-9D0B1B52E91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16E-C542-B588-9D0B1B52E91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116E-C542-B588-9D0B1B52E91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116E-C542-B588-9D0B1B52E91B}"/>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'2'!$N$58:$N$61</c:f>
              <c:strCache>
                <c:ptCount val="4"/>
                <c:pt idx="0">
                  <c:v>Masa Muscular - Lee</c:v>
                </c:pt>
                <c:pt idx="1">
                  <c:v>Masa Ósea - Rocha</c:v>
                </c:pt>
                <c:pt idx="2">
                  <c:v>Masa Residual</c:v>
                </c:pt>
                <c:pt idx="3">
                  <c:v>Masa Adiposa - Kerr</c:v>
                </c:pt>
              </c:strCache>
            </c:strRef>
          </c:cat>
          <c:val>
            <c:numRef>
              <c:f>'2'!$P$58:$P$61</c:f>
              <c:numCache>
                <c:formatCode>0.00\ "kg"</c:formatCode>
                <c:ptCount val="4"/>
                <c:pt idx="0">
                  <c:v>21.836739837798834</c:v>
                </c:pt>
                <c:pt idx="1">
                  <c:v>19.603462717536186</c:v>
                </c:pt>
                <c:pt idx="2">
                  <c:v>0.29417164892587166</c:v>
                </c:pt>
                <c:pt idx="3">
                  <c:v>66.265625795739112</c:v>
                </c:pt>
              </c:numCache>
            </c:numRef>
          </c:val>
          <c:extLst>
            <c:ext xmlns:c16="http://schemas.microsoft.com/office/drawing/2014/chart" uri="{C3380CC4-5D6E-409C-BE32-E72D297353CC}">
              <c16:uniqueId val="{0000000A-116E-C542-B588-9D0B1B52E91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8A0-0C46-8D1E-6779EB754C93}"/>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8A0-0C46-8D1E-6779EB754C93}"/>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8A0-0C46-8D1E-6779EB754C93}"/>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8A0-0C46-8D1E-6779EB754C93}"/>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8A0-0C46-8D1E-6779EB754C9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'20'!$N$58:$N$61</c:f>
              <c:strCache>
                <c:ptCount val="4"/>
                <c:pt idx="0">
                  <c:v>Masa Muscular - Lee</c:v>
                </c:pt>
                <c:pt idx="1">
                  <c:v>Masa Ósea - Rocha</c:v>
                </c:pt>
                <c:pt idx="2">
                  <c:v>Masa Residual</c:v>
                </c:pt>
                <c:pt idx="3">
                  <c:v>Masa Adiposa - Kerr</c:v>
                </c:pt>
              </c:strCache>
            </c:strRef>
          </c:cat>
          <c:val>
            <c:numRef>
              <c:f>'20'!$P$58:$P$61</c:f>
              <c:numCache>
                <c:formatCode>0.00\ "kg"</c:formatCode>
                <c:ptCount val="4"/>
                <c:pt idx="0">
                  <c:v>0</c:v>
                </c:pt>
                <c:pt idx="1">
                  <c:v>0</c:v>
                </c:pt>
                <c:pt idx="2">
                  <c:v>0</c:v>
                </c:pt>
                <c:pt idx="3">
                  <c:v>0</c:v>
                </c:pt>
              </c:numCache>
            </c:numRef>
          </c:val>
          <c:extLst>
            <c:ext xmlns:c16="http://schemas.microsoft.com/office/drawing/2014/chart" uri="{C3380CC4-5D6E-409C-BE32-E72D297353CC}">
              <c16:uniqueId val="{0000000A-C8A0-0C46-8D1E-6779EB754C93}"/>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50" b="0" i="0" u="none" strike="noStrike" baseline="0">
                <a:solidFill>
                  <a:schemeClr val="tx1">
                    <a:lumMod val="75000"/>
                    <a:lumOff val="25000"/>
                  </a:schemeClr>
                </a:solidFill>
                <a:latin typeface="Arial"/>
                <a:ea typeface="Arial"/>
                <a:cs typeface="Arial"/>
              </a:defRPr>
            </a:pPr>
            <a:r>
              <a:rPr lang="en-NZ" sz="1400" b="1" i="0" u="none" strike="noStrike" baseline="0">
                <a:solidFill>
                  <a:schemeClr val="tx1">
                    <a:lumMod val="75000"/>
                    <a:lumOff val="25000"/>
                  </a:schemeClr>
                </a:solidFill>
                <a:latin typeface="Arial"/>
                <a:cs typeface="Arial"/>
              </a:rPr>
              <a:t>%TEM Restricted profile</a:t>
            </a:r>
          </a:p>
          <a:p>
            <a:pPr>
              <a:defRPr sz="1850" b="0" i="0" u="none" strike="noStrike" baseline="0">
                <a:solidFill>
                  <a:schemeClr val="tx1">
                    <a:lumMod val="75000"/>
                    <a:lumOff val="25000"/>
                  </a:schemeClr>
                </a:solidFill>
                <a:latin typeface="Arial"/>
                <a:ea typeface="Arial"/>
                <a:cs typeface="Arial"/>
              </a:defRPr>
            </a:pPr>
            <a:r>
              <a:rPr lang="en-NZ" sz="1400" b="1" i="0" u="none" strike="noStrike" baseline="0">
                <a:solidFill>
                  <a:schemeClr val="tx1">
                    <a:lumMod val="75000"/>
                    <a:lumOff val="25000"/>
                  </a:schemeClr>
                </a:solidFill>
                <a:latin typeface="Arial"/>
                <a:cs typeface="Arial"/>
              </a:rPr>
              <a:t>%ETM Perfil restringido</a:t>
            </a:r>
          </a:p>
        </c:rich>
      </c:tx>
      <c:layout>
        <c:manualLayout>
          <c:xMode val="edge"/>
          <c:yMode val="edge"/>
          <c:x val="0.41188457206815765"/>
          <c:y val="1.539555983268712E-2"/>
        </c:manualLayout>
      </c:layout>
      <c:overlay val="0"/>
      <c:spPr>
        <a:noFill/>
        <a:ln w="25400">
          <a:noFill/>
        </a:ln>
      </c:spPr>
    </c:title>
    <c:autoTitleDeleted val="0"/>
    <c:plotArea>
      <c:layout>
        <c:manualLayout>
          <c:layoutTarget val="inner"/>
          <c:xMode val="edge"/>
          <c:yMode val="edge"/>
          <c:x val="5.1992884603352246E-2"/>
          <c:y val="0.10166371901020106"/>
          <c:w val="0.93363458771021179"/>
          <c:h val="0.56347559463511354"/>
        </c:manualLayout>
      </c:layout>
      <c:barChart>
        <c:barDir val="col"/>
        <c:grouping val="clustered"/>
        <c:varyColors val="0"/>
        <c:ser>
          <c:idx val="0"/>
          <c:order val="0"/>
          <c:tx>
            <c:v>Medida</c:v>
          </c:tx>
          <c:spPr>
            <a:solidFill>
              <a:srgbClr val="9999FF"/>
            </a:solidFill>
            <a:ln w="12700">
              <a:solidFill>
                <a:srgbClr val="000000"/>
              </a:solidFill>
              <a:prstDash val="solid"/>
            </a:ln>
          </c:spPr>
          <c:invertIfNegative val="0"/>
          <c:cat>
            <c:strRef>
              <c:f>'TEM-ICC ETM-ICC'!$C$44:$C$64</c:f>
              <c:strCache>
                <c:ptCount val="21"/>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strCache>
            </c:strRef>
          </c:cat>
          <c:val>
            <c:numRef>
              <c:f>'TEM-ICC ETM-ICC'!$N$44:$N$64</c:f>
              <c:numCache>
                <c:formatCode>0.00</c:formatCode>
                <c:ptCount val="21"/>
                <c:pt idx="0">
                  <c:v>0</c:v>
                </c:pt>
                <c:pt idx="1">
                  <c:v>0</c:v>
                </c:pt>
                <c:pt idx="2">
                  <c:v>0</c:v>
                </c:pt>
                <c:pt idx="3">
                  <c:v>0</c:v>
                </c:pt>
                <c:pt idx="4">
                  <c:v>4.742186645066373</c:v>
                </c:pt>
                <c:pt idx="5">
                  <c:v>8.872960506608079</c:v>
                </c:pt>
                <c:pt idx="6">
                  <c:v>11.49919149152138</c:v>
                </c:pt>
                <c:pt idx="7">
                  <c:v>4.3418795679607562</c:v>
                </c:pt>
                <c:pt idx="8">
                  <c:v>12.308993682327529</c:v>
                </c:pt>
                <c:pt idx="9">
                  <c:v>0</c:v>
                </c:pt>
                <c:pt idx="10">
                  <c:v>6.8895919183039753</c:v>
                </c:pt>
                <c:pt idx="11">
                  <c:v>11.288662173511078</c:v>
                </c:pt>
                <c:pt idx="12">
                  <c:v>0</c:v>
                </c:pt>
                <c:pt idx="13">
                  <c:v>0</c:v>
                </c:pt>
                <c:pt idx="14">
                  <c:v>0</c:v>
                </c:pt>
                <c:pt idx="15">
                  <c:v>0</c:v>
                </c:pt>
                <c:pt idx="16">
                  <c:v>0</c:v>
                </c:pt>
                <c:pt idx="17">
                  <c:v>0</c:v>
                </c:pt>
                <c:pt idx="18">
                  <c:v>0</c:v>
                </c:pt>
                <c:pt idx="19">
                  <c:v>0</c:v>
                </c:pt>
                <c:pt idx="20">
                  <c:v>0</c:v>
                </c:pt>
              </c:numCache>
            </c:numRef>
          </c:val>
          <c:extLst>
            <c:ext xmlns:c16="http://schemas.microsoft.com/office/drawing/2014/chart" uri="{C3380CC4-5D6E-409C-BE32-E72D297353CC}">
              <c16:uniqueId val="{00000000-7A28-D340-B55B-5A71F6167C87}"/>
            </c:ext>
          </c:extLst>
        </c:ser>
        <c:ser>
          <c:idx val="1"/>
          <c:order val="1"/>
          <c:tx>
            <c:v>Objetivo</c:v>
          </c:tx>
          <c:spPr>
            <a:solidFill>
              <a:srgbClr val="FCF305"/>
            </a:solidFill>
            <a:ln w="12700">
              <a:solidFill>
                <a:srgbClr val="000000"/>
              </a:solidFill>
              <a:prstDash val="solid"/>
            </a:ln>
          </c:spPr>
          <c:invertIfNegative val="0"/>
          <c:cat>
            <c:strRef>
              <c:f>'TEM-ICC ETM-ICC'!$C$44:$C$64</c:f>
              <c:strCache>
                <c:ptCount val="21"/>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strCache>
            </c:strRef>
          </c:cat>
          <c:val>
            <c:numRef>
              <c:f>'TEM-ICC ETM-ICC'!$Q$44:$Q$64</c:f>
              <c:numCache>
                <c:formatCode>0.0</c:formatCode>
                <c:ptCount val="21"/>
                <c:pt idx="0">
                  <c:v>1.5</c:v>
                </c:pt>
                <c:pt idx="1">
                  <c:v>1.5</c:v>
                </c:pt>
                <c:pt idx="2">
                  <c:v>1.5</c:v>
                </c:pt>
                <c:pt idx="3">
                  <c:v>1.5</c:v>
                </c:pt>
                <c:pt idx="4">
                  <c:v>7.5</c:v>
                </c:pt>
                <c:pt idx="5">
                  <c:v>7.5</c:v>
                </c:pt>
                <c:pt idx="6">
                  <c:v>7.5</c:v>
                </c:pt>
                <c:pt idx="7">
                  <c:v>7.5</c:v>
                </c:pt>
                <c:pt idx="8">
                  <c:v>7.5</c:v>
                </c:pt>
                <c:pt idx="9">
                  <c:v>7.5</c:v>
                </c:pt>
                <c:pt idx="10">
                  <c:v>7.5</c:v>
                </c:pt>
                <c:pt idx="11">
                  <c:v>7.5</c:v>
                </c:pt>
                <c:pt idx="12">
                  <c:v>1.5</c:v>
                </c:pt>
                <c:pt idx="13">
                  <c:v>1.5</c:v>
                </c:pt>
                <c:pt idx="14">
                  <c:v>1.5</c:v>
                </c:pt>
                <c:pt idx="15">
                  <c:v>1.5</c:v>
                </c:pt>
                <c:pt idx="16">
                  <c:v>1.5</c:v>
                </c:pt>
                <c:pt idx="17">
                  <c:v>1.5</c:v>
                </c:pt>
                <c:pt idx="18">
                  <c:v>1.5</c:v>
                </c:pt>
                <c:pt idx="19">
                  <c:v>1.5</c:v>
                </c:pt>
                <c:pt idx="20">
                  <c:v>1.5</c:v>
                </c:pt>
              </c:numCache>
            </c:numRef>
          </c:val>
          <c:extLst>
            <c:ext xmlns:c16="http://schemas.microsoft.com/office/drawing/2014/chart" uri="{C3380CC4-5D6E-409C-BE32-E72D297353CC}">
              <c16:uniqueId val="{00000001-7A28-D340-B55B-5A71F6167C87}"/>
            </c:ext>
          </c:extLst>
        </c:ser>
        <c:dLbls>
          <c:showLegendKey val="0"/>
          <c:showVal val="0"/>
          <c:showCatName val="0"/>
          <c:showSerName val="0"/>
          <c:showPercent val="0"/>
          <c:showBubbleSize val="0"/>
        </c:dLbls>
        <c:gapWidth val="150"/>
        <c:axId val="466673304"/>
        <c:axId val="1"/>
      </c:barChart>
      <c:catAx>
        <c:axId val="466673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900" b="0" i="0" u="none" strike="noStrike" baseline="0">
                <a:solidFill>
                  <a:schemeClr val="tx1">
                    <a:lumMod val="75000"/>
                    <a:lumOff val="25000"/>
                  </a:schemeClr>
                </a:solidFill>
                <a:latin typeface="Arial"/>
                <a:ea typeface="Arial"/>
                <a:cs typeface="Arial"/>
              </a:defRPr>
            </a:pPr>
            <a:endParaRPr lang="es-EC"/>
          </a:p>
        </c:txPr>
        <c:crossAx val="1"/>
        <c:crosses val="autoZero"/>
        <c:auto val="1"/>
        <c:lblAlgn val="ctr"/>
        <c:lblOffset val="100"/>
        <c:tickLblSkip val="1"/>
        <c:tickMarkSkip val="1"/>
        <c:noMultiLvlLbl val="0"/>
      </c:catAx>
      <c:valAx>
        <c:axId val="1"/>
        <c:scaling>
          <c:orientation val="minMax"/>
          <c:max val="10"/>
          <c:min val="0"/>
        </c:scaling>
        <c:delete val="0"/>
        <c:axPos val="l"/>
        <c:majorGridlines>
          <c:spPr>
            <a:ln w="3175">
              <a:solidFill>
                <a:srgbClr val="000000"/>
              </a:solidFill>
              <a:prstDash val="solid"/>
            </a:ln>
          </c:spPr>
        </c:majorGridlines>
        <c:minorGridlines/>
        <c:title>
          <c:tx>
            <c:rich>
              <a:bodyPr/>
              <a:lstStyle/>
              <a:p>
                <a:pPr>
                  <a:defRPr sz="1125" b="1" i="0" u="none" strike="noStrike" baseline="0">
                    <a:solidFill>
                      <a:schemeClr val="tx1">
                        <a:lumMod val="75000"/>
                        <a:lumOff val="25000"/>
                      </a:schemeClr>
                    </a:solidFill>
                    <a:latin typeface="Arial"/>
                    <a:ea typeface="Arial"/>
                    <a:cs typeface="Arial"/>
                  </a:defRPr>
                </a:pPr>
                <a:r>
                  <a:rPr lang="en-NZ">
                    <a:solidFill>
                      <a:schemeClr val="tx1">
                        <a:lumMod val="75000"/>
                        <a:lumOff val="25000"/>
                      </a:schemeClr>
                    </a:solidFill>
                  </a:rPr>
                  <a:t>% TEM; % ETM</a:t>
                </a:r>
              </a:p>
            </c:rich>
          </c:tx>
          <c:layout>
            <c:manualLayout>
              <c:xMode val="edge"/>
              <c:yMode val="edge"/>
              <c:x val="1.3744673011547309E-2"/>
              <c:y val="0.3121005522201317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650" b="0" i="0" u="none" strike="noStrike" baseline="0">
                <a:solidFill>
                  <a:schemeClr val="tx1">
                    <a:lumMod val="75000"/>
                    <a:lumOff val="25000"/>
                  </a:schemeClr>
                </a:solidFill>
                <a:latin typeface="Arial"/>
                <a:ea typeface="Arial"/>
                <a:cs typeface="Arial"/>
              </a:defRPr>
            </a:pPr>
            <a:endParaRPr lang="es-EC"/>
          </a:p>
        </c:txPr>
        <c:crossAx val="466673304"/>
        <c:crosses val="autoZero"/>
        <c:crossBetween val="between"/>
        <c:majorUnit val="1"/>
        <c:minorUnit val="0.5"/>
      </c:valAx>
      <c:spPr>
        <a:noFill/>
        <a:ln w="12700">
          <a:noFill/>
          <a:prstDash val="solid"/>
        </a:ln>
      </c:spPr>
    </c:plotArea>
    <c:legend>
      <c:legendPos val="r"/>
      <c:layout>
        <c:manualLayout>
          <c:xMode val="edge"/>
          <c:yMode val="edge"/>
          <c:x val="0.41423418240720788"/>
          <c:y val="0.90897717753590757"/>
          <c:w val="0.22666153375555292"/>
          <c:h val="6.8282594813930994E-2"/>
        </c:manualLayout>
      </c:layout>
      <c:overlay val="0"/>
      <c:spPr>
        <a:noFill/>
        <a:ln w="3175">
          <a:noFill/>
          <a:prstDash val="solid"/>
        </a:ln>
      </c:spPr>
      <c:txPr>
        <a:bodyPr/>
        <a:lstStyle/>
        <a:p>
          <a:pPr>
            <a:defRPr sz="920" b="0" i="0" u="none" strike="noStrike" baseline="0">
              <a:solidFill>
                <a:schemeClr val="tx1">
                  <a:lumMod val="75000"/>
                  <a:lumOff val="25000"/>
                </a:schemeClr>
              </a:solidFill>
              <a:latin typeface="Arial"/>
              <a:ea typeface="Arial"/>
              <a:cs typeface="Arial"/>
            </a:defRPr>
          </a:pPr>
          <a:endParaRPr lang="es-EC"/>
        </a:p>
      </c:txPr>
    </c:legend>
    <c:plotVisOnly val="1"/>
    <c:dispBlanksAs val="gap"/>
    <c:showDLblsOverMax val="0"/>
  </c:chart>
  <c:spPr>
    <a:solidFill>
      <a:schemeClr val="bg1">
        <a:lumMod val="95000"/>
        <a:alpha val="45000"/>
      </a:schemeClr>
    </a:solidFill>
    <a:ln w="3175">
      <a:noFill/>
      <a:prstDash val="solid"/>
    </a:ln>
  </c:spPr>
  <c:txPr>
    <a:bodyPr/>
    <a:lstStyle/>
    <a:p>
      <a:pPr>
        <a:defRPr sz="1850" b="0" i="0" u="none" strike="noStrike" baseline="0">
          <a:solidFill>
            <a:srgbClr val="000000"/>
          </a:solidFill>
          <a:latin typeface="Arial"/>
          <a:ea typeface="Arial"/>
          <a:cs typeface="Arial"/>
        </a:defRPr>
      </a:pPr>
      <a:endParaRPr lang="es-EC"/>
    </a:p>
  </c:txPr>
  <c:printSettings>
    <c:headerFooter alignWithMargins="0"/>
    <c:pageMargins b="1" l="0" r="0"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4862134670888558E-2"/>
          <c:y val="1.8432330422020988E-2"/>
          <c:w val="0.94888783030235102"/>
          <c:h val="0.97824158902065794"/>
        </c:manualLayout>
      </c:layout>
      <c:barChart>
        <c:barDir val="bar"/>
        <c:grouping val="clustered"/>
        <c:varyColors val="0"/>
        <c:ser>
          <c:idx val="2"/>
          <c:order val="0"/>
          <c:tx>
            <c:v>Datos</c:v>
          </c:tx>
          <c:spPr>
            <a:solidFill>
              <a:schemeClr val="accent3">
                <a:alpha val="70000"/>
              </a:schemeClr>
            </a:solidFill>
            <a:ln w="9525" cap="flat" cmpd="sng" algn="ctr">
              <a:noFill/>
              <a:round/>
            </a:ln>
            <a:effectLst/>
          </c:spPr>
          <c:invertIfNegative val="0"/>
          <c:dLbls>
            <c:spPr>
              <a:noFill/>
              <a:ln>
                <a:noFill/>
              </a:ln>
              <a:effectLst/>
            </c:spPr>
            <c:txPr>
              <a:bodyPr rot="0" spcFirstLastPara="1" vertOverflow="ellipsis" vert="horz" wrap="square" lIns="0" tIns="0" rIns="0" bIns="0" anchor="ctr" anchorCtr="1">
                <a:spAutoFit/>
              </a:bodyPr>
              <a:lstStyle/>
              <a:p>
                <a:pPr>
                  <a:defRPr sz="900" b="1" i="0" u="none" strike="noStrike" kern="1200" baseline="0">
                    <a:solidFill>
                      <a:schemeClr val="tx1">
                        <a:lumMod val="75000"/>
                        <a:lumOff val="25000"/>
                      </a:schemeClr>
                    </a:solidFill>
                    <a:latin typeface="Avenir Book" panose="02000503020000020003" pitchFamily="2" charset="0"/>
                    <a:ea typeface="+mn-ea"/>
                    <a:cs typeface="+mn-cs"/>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a:solidFill>
                        <a:schemeClr val="dk1">
                          <a:lumMod val="50000"/>
                          <a:lumOff val="50000"/>
                        </a:schemeClr>
                      </a:solidFill>
                    </a:ln>
                    <a:effectLst/>
                  </c:spPr>
                </c15:leaderLines>
              </c:ext>
            </c:extLst>
          </c:dLbls>
          <c:cat>
            <c:strRef>
              <c:f>'3'!$N$14:$N$37</c:f>
              <c:strCache>
                <c:ptCount val="24"/>
                <c:pt idx="0">
                  <c:v>Masa Corporal ®</c:v>
                </c:pt>
                <c:pt idx="1">
                  <c:v>Talla ®</c:v>
                </c:pt>
                <c:pt idx="2">
                  <c:v>Talla Sentado ®</c:v>
                </c:pt>
                <c:pt idx="3">
                  <c:v>Envergadura de Brazos ®</c:v>
                </c:pt>
                <c:pt idx="4">
                  <c:v>PL Tríceps ®</c:v>
                </c:pt>
                <c:pt idx="5">
                  <c:v>PL Subescapular ®</c:v>
                </c:pt>
                <c:pt idx="6">
                  <c:v>PL Bíceps ®</c:v>
                </c:pt>
                <c:pt idx="7">
                  <c:v>PL Cresta Ilíaca ®</c:v>
                </c:pt>
                <c:pt idx="8">
                  <c:v>PL Supraespinal ®</c:v>
                </c:pt>
                <c:pt idx="9">
                  <c:v>PL Abdominal ®</c:v>
                </c:pt>
                <c:pt idx="10">
                  <c:v>PL Muslo ®</c:v>
                </c:pt>
                <c:pt idx="11">
                  <c:v>PL Pierna ®</c:v>
                </c:pt>
                <c:pt idx="12">
                  <c:v>PR Brazo Relajado ®</c:v>
                </c:pt>
                <c:pt idx="13">
                  <c:v>PR Brazo Flexionado y Contraído ®</c:v>
                </c:pt>
                <c:pt idx="14">
                  <c:v>PR Cintura ®</c:v>
                </c:pt>
                <c:pt idx="15">
                  <c:v>PR Caderas ®</c:v>
                </c:pt>
                <c:pt idx="16">
                  <c:v>PR Muslo Medio ®</c:v>
                </c:pt>
                <c:pt idx="17">
                  <c:v>PR Pierna ®</c:v>
                </c:pt>
                <c:pt idx="18">
                  <c:v>D Húmero ®</c:v>
                </c:pt>
                <c:pt idx="19">
                  <c:v>D Biestiloideo ®</c:v>
                </c:pt>
                <c:pt idx="20">
                  <c:v>D Fémur ®</c:v>
                </c:pt>
                <c:pt idx="21">
                  <c:v>PR Brazo Corregido</c:v>
                </c:pt>
                <c:pt idx="22">
                  <c:v>PR Muslo Corregido</c:v>
                </c:pt>
                <c:pt idx="23">
                  <c:v>PR Pierna Corregido</c:v>
                </c:pt>
              </c:strCache>
            </c:strRef>
          </c:cat>
          <c:val>
            <c:numRef>
              <c:f>'3'!$Q$14:$Q$37</c:f>
              <c:numCache>
                <c:formatCode>0.00</c:formatCode>
                <c:ptCount val="24"/>
                <c:pt idx="0">
                  <c:v>2.2772924048567265</c:v>
                </c:pt>
                <c:pt idx="1">
                  <c:v>0</c:v>
                </c:pt>
                <c:pt idx="2">
                  <c:v>0.7855065913371011</c:v>
                </c:pt>
                <c:pt idx="3">
                  <c:v>0.25211464123150656</c:v>
                </c:pt>
                <c:pt idx="4">
                  <c:v>3.2657338945133287</c:v>
                </c:pt>
                <c:pt idx="5">
                  <c:v>1.8415270952428717</c:v>
                </c:pt>
                <c:pt idx="6">
                  <c:v>-0.53871186440677921</c:v>
                </c:pt>
                <c:pt idx="7">
                  <c:v>-0.2400398803589229</c:v>
                </c:pt>
                <c:pt idx="8">
                  <c:v>0.68460925946991291</c:v>
                </c:pt>
                <c:pt idx="9">
                  <c:v>0.29438368698531719</c:v>
                </c:pt>
                <c:pt idx="10">
                  <c:v>1.1909251836327757</c:v>
                </c:pt>
                <c:pt idx="11">
                  <c:v>2.7503357166188809</c:v>
                </c:pt>
                <c:pt idx="12">
                  <c:v>1.8290099658107244</c:v>
                </c:pt>
                <c:pt idx="13">
                  <c:v>0.24802975041121444</c:v>
                </c:pt>
                <c:pt idx="14">
                  <c:v>4.0637059607693793</c:v>
                </c:pt>
                <c:pt idx="15">
                  <c:v>3.0904987546321623</c:v>
                </c:pt>
                <c:pt idx="16">
                  <c:v>1.6167856080880181</c:v>
                </c:pt>
                <c:pt idx="17">
                  <c:v>0</c:v>
                </c:pt>
                <c:pt idx="18">
                  <c:v>0</c:v>
                </c:pt>
                <c:pt idx="19">
                  <c:v>1.9957627118644095</c:v>
                </c:pt>
                <c:pt idx="20">
                  <c:v>0</c:v>
                </c:pt>
                <c:pt idx="21">
                  <c:v>-0.16884982961600167</c:v>
                </c:pt>
                <c:pt idx="22">
                  <c:v>0.45505696440901794</c:v>
                </c:pt>
                <c:pt idx="23">
                  <c:v>0</c:v>
                </c:pt>
              </c:numCache>
            </c:numRef>
          </c:val>
          <c:extLst>
            <c:ext xmlns:c16="http://schemas.microsoft.com/office/drawing/2014/chart" uri="{C3380CC4-5D6E-409C-BE32-E72D297353CC}">
              <c16:uniqueId val="{00000000-227B-CD44-8AFD-C967DC335A02}"/>
            </c:ext>
          </c:extLst>
        </c:ser>
        <c:dLbls>
          <c:showLegendKey val="0"/>
          <c:showVal val="0"/>
          <c:showCatName val="0"/>
          <c:showSerName val="0"/>
          <c:showPercent val="0"/>
          <c:showBubbleSize val="0"/>
        </c:dLbls>
        <c:gapWidth val="65"/>
        <c:axId val="342696448"/>
        <c:axId val="342693312"/>
      </c:barChart>
      <c:catAx>
        <c:axId val="342696448"/>
        <c:scaling>
          <c:orientation val="maxMin"/>
        </c:scaling>
        <c:delete val="1"/>
        <c:axPos val="l"/>
        <c:majorGridlines>
          <c:spPr>
            <a:ln w="9525" cap="flat" cmpd="sng" algn="ctr">
              <a:noFill/>
              <a:round/>
            </a:ln>
            <a:effectLst/>
          </c:spPr>
        </c:majorGridlines>
        <c:numFmt formatCode="General" sourceLinked="1"/>
        <c:majorTickMark val="none"/>
        <c:minorTickMark val="none"/>
        <c:tickLblPos val="low"/>
        <c:crossAx val="342693312"/>
        <c:crosses val="autoZero"/>
        <c:auto val="1"/>
        <c:lblAlgn val="ctr"/>
        <c:lblOffset val="100"/>
        <c:noMultiLvlLbl val="0"/>
      </c:catAx>
      <c:valAx>
        <c:axId val="342693312"/>
        <c:scaling>
          <c:orientation val="minMax"/>
        </c:scaling>
        <c:delete val="0"/>
        <c:axPos val="t"/>
        <c:majorGridlines>
          <c:spPr>
            <a:ln w="9525" cap="flat" cmpd="sng" algn="ctr">
              <a:solidFill>
                <a:schemeClr val="bg1">
                  <a:lumMod val="50000"/>
                  <a:alpha val="40000"/>
                </a:schemeClr>
              </a:solidFill>
              <a:round/>
            </a:ln>
            <a:effectLst/>
          </c:spPr>
        </c:majorGridlines>
        <c:minorGridlines>
          <c:spPr>
            <a:ln>
              <a:solidFill>
                <a:schemeClr val="bg1">
                  <a:lumMod val="50000"/>
                  <a:alpha val="31000"/>
                </a:schemeClr>
              </a:solidFill>
            </a:ln>
            <a:effectLst/>
          </c:spPr>
        </c:min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Avenir Book" panose="02000503020000020003" pitchFamily="2" charset="0"/>
                <a:ea typeface="+mn-ea"/>
                <a:cs typeface="+mn-cs"/>
              </a:defRPr>
            </a:pPr>
            <a:endParaRPr lang="es-EC"/>
          </a:p>
        </c:txPr>
        <c:crossAx val="342696448"/>
        <c:crosses val="autoZero"/>
        <c:crossBetween val="between"/>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es-EC"/>
    </a:p>
  </c:txPr>
  <c:printSettings>
    <c:headerFooter/>
    <c:pageMargins b="1.18" l="0" r="0" t="0.85" header="0" footer="0"/>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334341209144655E-2"/>
          <c:y val="5.4503054408501624E-2"/>
          <c:w val="0.93564869083889202"/>
          <c:h val="0.86873814060103505"/>
        </c:manualLayout>
      </c:layout>
      <c:scatterChart>
        <c:scatterStyle val="lineMarker"/>
        <c:varyColors val="0"/>
        <c:ser>
          <c:idx val="0"/>
          <c:order val="0"/>
          <c:tx>
            <c:strRef>
              <c:f>'3'!$P$49:$P$50</c:f>
              <c:strCache>
                <c:ptCount val="1"/>
              </c:strCache>
            </c:strRef>
          </c:tx>
          <c:spPr>
            <a:ln w="9525" cmpd="sng">
              <a:solidFill>
                <a:schemeClr val="accent6"/>
              </a:solidFill>
              <a:prstDash val="sysDash"/>
              <a:headEnd w="lg" len="lg"/>
              <a:tailEnd type="triangle" w="sm" len="med"/>
            </a:ln>
            <a:effectLst/>
          </c:spPr>
          <c:marker>
            <c:symbol val="diamond"/>
            <c:size val="10"/>
            <c:spPr>
              <a:solidFill>
                <a:schemeClr val="accent4"/>
              </a:solidFill>
              <a:ln w="9525" cap="flat" cmpd="sng" algn="ctr">
                <a:noFill/>
                <a:round/>
                <a:headEnd type="arrow"/>
              </a:ln>
              <a:effectLst/>
            </c:spPr>
          </c:marker>
          <c:dPt>
            <c:idx val="0"/>
            <c:marker>
              <c:symbol val="diamond"/>
              <c:size val="10"/>
              <c:spPr>
                <a:solidFill>
                  <a:schemeClr val="accent4"/>
                </a:solidFill>
                <a:ln w="9525" cap="flat" cmpd="sng" algn="ctr">
                  <a:noFill/>
                  <a:round/>
                  <a:headEnd type="arrow"/>
                </a:ln>
                <a:effectLst/>
              </c:spPr>
            </c:marker>
            <c:bubble3D val="0"/>
            <c:extLst>
              <c:ext xmlns:c16="http://schemas.microsoft.com/office/drawing/2014/chart" uri="{C3380CC4-5D6E-409C-BE32-E72D297353CC}">
                <c16:uniqueId val="{00000000-7D1C-2746-8142-092F97A56D45}"/>
              </c:ext>
            </c:extLst>
          </c:dPt>
          <c:xVal>
            <c:numRef>
              <c:f>'3'!$O$43</c:f>
              <c:numCache>
                <c:formatCode>0.0</c:formatCode>
                <c:ptCount val="1"/>
                <c:pt idx="0">
                  <c:v>-6.577585538296133</c:v>
                </c:pt>
              </c:numCache>
            </c:numRef>
          </c:xVal>
          <c:yVal>
            <c:numRef>
              <c:f>'3'!$O$44</c:f>
              <c:numCache>
                <c:formatCode>0.0</c:formatCode>
                <c:ptCount val="1"/>
                <c:pt idx="0">
                  <c:v>0</c:v>
                </c:pt>
              </c:numCache>
            </c:numRef>
          </c:yVal>
          <c:smooth val="0"/>
          <c:extLst>
            <c:ext xmlns:c16="http://schemas.microsoft.com/office/drawing/2014/chart" uri="{C3380CC4-5D6E-409C-BE32-E72D297353CC}">
              <c16:uniqueId val="{00000001-7D1C-2746-8142-092F97A56D45}"/>
            </c:ext>
          </c:extLst>
        </c:ser>
        <c:ser>
          <c:idx val="1"/>
          <c:order val="1"/>
          <c:tx>
            <c:v>Mesomorfia</c:v>
          </c:tx>
          <c:spPr>
            <a:ln w="25400">
              <a:noFill/>
            </a:ln>
            <a:effectLst/>
          </c:spPr>
          <c:marker>
            <c:symbol val="circle"/>
            <c:size val="4"/>
            <c:spPr>
              <a:noFill/>
              <a:ln w="9525" cap="flat" cmpd="sng" algn="ctr">
                <a:noFill/>
                <a:round/>
              </a:ln>
              <a:effectLst/>
            </c:spPr>
          </c:marker>
          <c:xVal>
            <c:numLit>
              <c:formatCode>General</c:formatCode>
              <c:ptCount val="1"/>
              <c:pt idx="0">
                <c:v>0</c:v>
              </c:pt>
            </c:numLit>
          </c:xVal>
          <c:yVal>
            <c:numLit>
              <c:formatCode>General</c:formatCode>
              <c:ptCount val="1"/>
              <c:pt idx="0">
                <c:v>12</c:v>
              </c:pt>
            </c:numLit>
          </c:yVal>
          <c:smooth val="0"/>
          <c:extLst>
            <c:ext xmlns:c16="http://schemas.microsoft.com/office/drawing/2014/chart" uri="{C3380CC4-5D6E-409C-BE32-E72D297353CC}">
              <c16:uniqueId val="{00000002-7D1C-2746-8142-092F97A56D45}"/>
            </c:ext>
          </c:extLst>
        </c:ser>
        <c:ser>
          <c:idx val="2"/>
          <c:order val="2"/>
          <c:tx>
            <c:v>Ectomorfia</c:v>
          </c:tx>
          <c:spPr>
            <a:ln w="28575">
              <a:solidFill>
                <a:schemeClr val="accent3">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3-7D1C-2746-8142-092F97A56D45}"/>
            </c:ext>
          </c:extLst>
        </c:ser>
        <c:ser>
          <c:idx val="3"/>
          <c:order val="3"/>
          <c:tx>
            <c:v>Endomorfia</c:v>
          </c:tx>
          <c:spPr>
            <a:ln w="28575">
              <a:solidFill>
                <a:schemeClr val="accent4">
                  <a:alpha val="20000"/>
                </a:schemeClr>
              </a:solidFill>
            </a:ln>
            <a:effectLst/>
          </c:spPr>
          <c:marker>
            <c:symbol val="circle"/>
            <c:size val="4"/>
            <c:spPr>
              <a:noFill/>
              <a:ln w="9525" cap="flat" cmpd="sng" algn="ctr">
                <a:noFill/>
                <a:round/>
              </a:ln>
              <a:effectLst/>
            </c:spPr>
          </c:marker>
          <c:xVal>
            <c:numLit>
              <c:formatCode>General</c:formatCode>
              <c:ptCount val="1"/>
              <c:pt idx="0">
                <c:v>-6</c:v>
              </c:pt>
            </c:numLit>
          </c:xVal>
          <c:yVal>
            <c:numLit>
              <c:formatCode>General</c:formatCode>
              <c:ptCount val="1"/>
              <c:pt idx="0">
                <c:v>-6</c:v>
              </c:pt>
            </c:numLit>
          </c:yVal>
          <c:smooth val="0"/>
          <c:extLst>
            <c:ext xmlns:c16="http://schemas.microsoft.com/office/drawing/2014/chart" uri="{C3380CC4-5D6E-409C-BE32-E72D297353CC}">
              <c16:uniqueId val="{00000004-7D1C-2746-8142-092F97A56D45}"/>
            </c:ext>
          </c:extLst>
        </c:ser>
        <c:dLbls>
          <c:showLegendKey val="0"/>
          <c:showVal val="0"/>
          <c:showCatName val="0"/>
          <c:showSerName val="0"/>
          <c:showPercent val="0"/>
          <c:showBubbleSize val="0"/>
        </c:dLbls>
        <c:axId val="342693704"/>
        <c:axId val="342695272"/>
      </c:scatterChart>
      <c:valAx>
        <c:axId val="342693704"/>
        <c:scaling>
          <c:orientation val="minMax"/>
          <c:max val="8"/>
          <c:min val="-8"/>
        </c:scaling>
        <c:delete val="0"/>
        <c:axPos val="b"/>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5272"/>
        <c:crossesAt val="-10"/>
        <c:crossBetween val="midCat"/>
        <c:majorUnit val="1"/>
      </c:valAx>
      <c:valAx>
        <c:axId val="342695272"/>
        <c:scaling>
          <c:orientation val="minMax"/>
          <c:max val="16"/>
          <c:min val="-10"/>
        </c:scaling>
        <c:delete val="0"/>
        <c:axPos val="l"/>
        <c:majorGridlines>
          <c:spPr>
            <a:ln w="9525" cap="flat" cmpd="sng" algn="ctr">
              <a:solidFill>
                <a:schemeClr val="bg1">
                  <a:lumMod val="75000"/>
                </a:schemeClr>
              </a:solidFill>
              <a:round/>
            </a:ln>
            <a:effectLst/>
          </c:spPr>
        </c:majorGridlines>
        <c:numFmt formatCode="0" sourceLinked="0"/>
        <c:majorTickMark val="none"/>
        <c:minorTickMark val="none"/>
        <c:tickLblPos val="high"/>
        <c:spPr>
          <a:noFill/>
          <a:ln>
            <a:noFill/>
          </a:ln>
          <a:effectLst/>
        </c:spPr>
        <c:txPr>
          <a:bodyPr rot="0" spcFirstLastPara="1" vertOverflow="ellipsis" wrap="square" anchor="ctr" anchorCtr="1"/>
          <a:lstStyle/>
          <a:p>
            <a:pPr>
              <a:defRPr sz="700" b="0" i="0" u="none" strike="noStrike" kern="1200" baseline="0">
                <a:solidFill>
                  <a:schemeClr val="dk1">
                    <a:lumMod val="50000"/>
                    <a:lumOff val="50000"/>
                  </a:schemeClr>
                </a:solidFill>
                <a:latin typeface="Avenir Book" panose="02000503020000020003" pitchFamily="2" charset="0"/>
                <a:ea typeface="+mn-ea"/>
                <a:cs typeface="+mn-cs"/>
              </a:defRPr>
            </a:pPr>
            <a:endParaRPr lang="es-EC"/>
          </a:p>
        </c:txPr>
        <c:crossAx val="342693704"/>
        <c:crosses val="autoZero"/>
        <c:crossBetween val="midCat"/>
        <c:majorUnit val="1"/>
        <c:minorUnit val="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C"/>
    </a:p>
  </c:txPr>
  <c:printSettings>
    <c:headerFooter/>
    <c:pageMargins b="0.75" l="0.7" r="0.7" t="0.75" header="0" footer="0"/>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285-684B-B9E7-B8692323E2D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285-684B-B9E7-B8692323E2D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285-684B-B9E7-B8692323E2D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285-684B-B9E7-B8692323E2D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285-684B-B9E7-B8692323E2D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ysClr val="windowText" lastClr="000000"/>
                    </a:solidFill>
                    <a:latin typeface="+mn-lt"/>
                    <a:ea typeface="+mn-ea"/>
                    <a:cs typeface="+mn-cs"/>
                  </a:defRPr>
                </a:pPr>
                <a:endParaRPr lang="es-EC"/>
              </a:p>
            </c:txPr>
            <c:showLegendKey val="0"/>
            <c:showVal val="0"/>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'3'!$N$58:$N$61</c:f>
              <c:strCache>
                <c:ptCount val="4"/>
                <c:pt idx="0">
                  <c:v>Masa Muscular - Lee</c:v>
                </c:pt>
                <c:pt idx="1">
                  <c:v>Masa Ósea - Rocha</c:v>
                </c:pt>
                <c:pt idx="2">
                  <c:v>Masa Residual</c:v>
                </c:pt>
                <c:pt idx="3">
                  <c:v>Masa Adiposa - Kerr</c:v>
                </c:pt>
              </c:strCache>
            </c:strRef>
          </c:cat>
          <c:val>
            <c:numRef>
              <c:f>'3'!$P$58:$P$61</c:f>
              <c:numCache>
                <c:formatCode>0.00\ "kg"</c:formatCode>
                <c:ptCount val="4"/>
                <c:pt idx="0">
                  <c:v>0</c:v>
                </c:pt>
                <c:pt idx="1">
                  <c:v>0</c:v>
                </c:pt>
                <c:pt idx="2">
                  <c:v>0</c:v>
                </c:pt>
                <c:pt idx="3">
                  <c:v>22.365761450847611</c:v>
                </c:pt>
              </c:numCache>
            </c:numRef>
          </c:val>
          <c:extLst>
            <c:ext xmlns:c16="http://schemas.microsoft.com/office/drawing/2014/chart" uri="{C3380CC4-5D6E-409C-BE32-E72D297353CC}">
              <c16:uniqueId val="{0000000A-A285-684B-B9E7-B8692323E2DD}"/>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0.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3.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4.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5.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6.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7.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18.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19.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0.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1.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3.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4.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5.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6.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7.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28.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9.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0.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1.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2.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3.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4.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5.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6.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7.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38.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9.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4.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40.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6.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7.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charts/style8.xml><?xml version="1.0" encoding="utf-8"?>
<cs:chartStyle xmlns:cs="http://schemas.microsoft.com/office/drawing/2012/chartStyle" xmlns:a="http://schemas.openxmlformats.org/drawingml/2006/main" id="410">
  <cs:axisTitle>
    <cs:lnRef idx="0"/>
    <cs:fillRef idx="0"/>
    <cs:effectRef idx="0"/>
    <cs:fontRef idx="minor">
      <a:schemeClr val="tx1">
        <a:lumMod val="65000"/>
        <a:lumOff val="35000"/>
      </a:schemeClr>
    </cs:fontRef>
    <cs:spPr>
      <a:solidFill>
        <a:schemeClr val="bg1">
          <a:lumMod val="65000"/>
        </a:schemeClr>
      </a:solidFill>
      <a:ln w="19050">
        <a:solidFill>
          <a:schemeClr val="bg1"/>
        </a:solidFill>
      </a:ln>
    </cs:spPr>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lt1"/>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9.xml><?xml version="1.0" encoding="utf-8"?>
<cs:chartStyle xmlns:cs="http://schemas.microsoft.com/office/drawing/2012/chartStyle" xmlns:a="http://schemas.openxmlformats.org/drawingml/2006/main" id="244">
  <cs:axisTitle>
    <cs:lnRef idx="0"/>
    <cs:fillRef idx="0"/>
    <cs:effectRef idx="0"/>
    <cs:fontRef idx="minor">
      <a:schemeClr val="dk1">
        <a:lumMod val="50000"/>
        <a:lumOff val="50000"/>
      </a:schemeClr>
    </cs:fontRef>
    <cs:defRPr sz="900" b="1" kern="1200"/>
  </cs:axisTitle>
  <cs:categoryAxis>
    <cs:lnRef idx="0"/>
    <cs:fillRef idx="0"/>
    <cs:effectRef idx="0"/>
    <cs:fontRef idx="minor">
      <a:schemeClr val="dk1">
        <a:lumMod val="50000"/>
        <a:lumOff val="50000"/>
      </a:schemeClr>
    </cs:fontRef>
    <cs:spPr>
      <a:ln w="9525" cap="flat" cmpd="sng" algn="ctr">
        <a:solidFill>
          <a:schemeClr val="dk1">
            <a:lumMod val="15000"/>
            <a:lumOff val="85000"/>
          </a:schemeClr>
        </a:solidFill>
        <a:round/>
      </a:ln>
    </cs:spPr>
    <cs:defRPr sz="900" kern="1200"/>
  </cs:categoryAxis>
  <cs:chartArea>
    <cs:lnRef idx="0"/>
    <cs:fillRef idx="0"/>
    <cs:effectRef idx="0"/>
    <cs:fontRef idx="minor">
      <a:schemeClr val="dk1"/>
    </cs:fontRef>
    <cs:spPr>
      <a:gradFill flip="none" rotWithShape="1">
        <a:gsLst>
          <a:gs pos="100000">
            <a:schemeClr val="lt1">
              <a:lumMod val="95000"/>
            </a:schemeClr>
          </a:gs>
          <a:gs pos="43000">
            <a:schemeClr val="lt1"/>
          </a:gs>
        </a:gsLst>
        <a:path path="circle">
          <a:fillToRect l="50000" t="50000" r="50000" b="50000"/>
        </a:path>
        <a:tileRect/>
      </a:gradFill>
      <a:ln w="9525" cap="flat" cmpd="sng" algn="ctr">
        <a:solidFill>
          <a:schemeClr val="dk1">
            <a:lumMod val="15000"/>
            <a:lumOff val="85000"/>
          </a:schemeClr>
        </a:solidFill>
        <a:round/>
      </a:ln>
    </cs:spPr>
    <cs:defRPr sz="900" kern="1200"/>
  </cs:chartArea>
  <cs:dataLabel>
    <cs:lnRef idx="0"/>
    <cs:fillRef idx="0"/>
    <cs:effectRef idx="0"/>
    <cs:fontRef idx="minor">
      <a:schemeClr val="dk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dk1">
          <a:lumMod val="15000"/>
          <a:lumOff val="85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a:solidFill>
          <a:schemeClr val="phClr">
            <a:alpha val="20000"/>
          </a:schemeClr>
        </a:solidFill>
      </a:ln>
    </cs:spPr>
  </cs:dataPointLine>
  <cs:dataPointMarker>
    <cs:lnRef idx="0">
      <cs:styleClr val="auto"/>
    </cs:lnRef>
    <cs:fillRef idx="0">
      <cs:styleClr val="auto"/>
    </cs:fillRef>
    <cs:effectRef idx="0"/>
    <cs:fontRef idx="minor">
      <a:schemeClr val="tx1"/>
    </cs:fontRef>
    <cs:spPr>
      <a:solidFill>
        <a:schemeClr val="phClr"/>
      </a:solidFill>
      <a:ln w="9525" cap="flat" cmpd="sng" algn="ctr">
        <a:solidFill>
          <a:schemeClr val="phClr"/>
        </a:solidFill>
        <a:round/>
      </a:ln>
    </cs:spPr>
  </cs:dataPointMarker>
  <cs:dataPointMarkerLayout symbol="circle" size="4"/>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dk1">
        <a:lumMod val="50000"/>
        <a:lumOff val="50000"/>
      </a:schemeClr>
    </cs:fontRef>
    <cs:spPr>
      <a:ln w="9525" cap="rnd">
        <a:solidFill>
          <a:schemeClr val="dk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a:solidFill>
          <a:schemeClr val="dk1">
            <a:lumMod val="50000"/>
            <a:lumOff val="50000"/>
          </a:schemeClr>
        </a:solidFill>
      </a:ln>
    </cs:spPr>
  </cs:downBar>
  <cs:dropLine>
    <cs:lnRef idx="0"/>
    <cs:fillRef idx="0"/>
    <cs:effectRef idx="0"/>
    <cs:fontRef idx="minor">
      <a:schemeClr val="tx1"/>
    </cs:fontRef>
    <cs:spPr>
      <a:ln w="9525">
        <a:solidFill>
          <a:schemeClr val="dk1">
            <a:lumMod val="35000"/>
            <a:lumOff val="65000"/>
          </a:schemeClr>
        </a:solidFill>
      </a:ln>
    </cs:spPr>
  </cs:dropLine>
  <cs:errorBar>
    <cs:lnRef idx="0"/>
    <cs:fillRef idx="0"/>
    <cs:effectRef idx="0"/>
    <cs:fontRef idx="minor">
      <a:schemeClr val="tx1"/>
    </cs:fontRef>
    <cs:spPr>
      <a:ln w="9525">
        <a:solidFill>
          <a:schemeClr val="dk1">
            <a:lumMod val="50000"/>
            <a:lumOff val="50000"/>
          </a:schemeClr>
        </a:solidFill>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dk1">
            <a:lumMod val="15000"/>
            <a:lumOff val="85000"/>
          </a:schemeClr>
        </a:solidFill>
        <a:round/>
      </a:ln>
    </cs:spPr>
  </cs:gridlineMajor>
  <cs:gridlineMinor>
    <cs:lnRef idx="0"/>
    <cs:fillRef idx="0"/>
    <cs:effectRef idx="0"/>
    <cs:fontRef idx="minor">
      <a:schemeClr val="tx1"/>
    </cs:fontRef>
    <cs:spPr>
      <a:ln w="9525" cap="flat" cmpd="sng" algn="ctr">
        <a:solidFill>
          <a:schemeClr val="dk1">
            <a:lumMod val="5000"/>
            <a:lumOff val="95000"/>
          </a:schemeClr>
        </a:solidFill>
        <a:round/>
      </a:ln>
    </cs:spPr>
  </cs:gridlineMinor>
  <cs:hiLoLine>
    <cs:lnRef idx="0"/>
    <cs:fillRef idx="0"/>
    <cs:effectRef idx="0"/>
    <cs:fontRef idx="minor">
      <a:schemeClr val="tx1"/>
    </cs:fontRef>
    <cs:spPr>
      <a:ln w="9525">
        <a:solidFill>
          <a:schemeClr val="dk1">
            <a:lumMod val="35000"/>
            <a:lumOff val="65000"/>
          </a:schemeClr>
        </a:solidFill>
      </a:ln>
    </cs:spPr>
  </cs:hiLoLine>
  <cs:leaderLine>
    <cs:lnRef idx="0"/>
    <cs:fillRef idx="0"/>
    <cs:effectRef idx="0"/>
    <cs:fontRef idx="minor">
      <a:schemeClr val="tx1"/>
    </cs:fontRef>
    <cs:spPr>
      <a:ln w="9525">
        <a:solidFill>
          <a:schemeClr val="dk1">
            <a:lumMod val="35000"/>
            <a:lumOff val="65000"/>
          </a:schemeClr>
        </a:solidFill>
      </a:ln>
    </cs:spPr>
  </cs:leaderLine>
  <cs:legend>
    <cs:lnRef idx="0"/>
    <cs:fillRef idx="0"/>
    <cs:effectRef idx="0"/>
    <cs:fontRef idx="minor">
      <a:schemeClr val="dk1">
        <a:lumMod val="50000"/>
        <a:lumOff val="50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50000"/>
        <a:lumOff val="50000"/>
      </a:schemeClr>
    </cs:fontRef>
    <cs:spPr>
      <a:ln w="9525">
        <a:solidFill>
          <a:schemeClr val="dk1">
            <a:lumMod val="15000"/>
            <a:lumOff val="85000"/>
          </a:schemeClr>
        </a:solidFill>
      </a:ln>
    </cs:spPr>
    <cs:defRPr sz="900" kern="1200"/>
  </cs:seriesAxis>
  <cs:seriesLine>
    <cs:lnRef idx="0"/>
    <cs:fillRef idx="0"/>
    <cs:effectRef idx="0"/>
    <cs:fontRef idx="minor">
      <a:schemeClr val="tx1"/>
    </cs:fontRef>
    <cs:spPr>
      <a:ln w="9525">
        <a:solidFill>
          <a:schemeClr val="dk1">
            <a:lumMod val="35000"/>
            <a:lumOff val="65000"/>
          </a:schemeClr>
        </a:solidFill>
      </a:ln>
    </cs:spPr>
  </cs:seriesLine>
  <cs:title>
    <cs:lnRef idx="0"/>
    <cs:fillRef idx="0"/>
    <cs:effectRef idx="0"/>
    <cs:fontRef idx="minor">
      <a:schemeClr val="dk1">
        <a:lumMod val="50000"/>
        <a:lumOff val="50000"/>
      </a:schemeClr>
    </cs:fontRef>
    <cs:defRPr sz="1600" b="0" kern="1200" spc="70" baseline="0"/>
  </cs:title>
  <cs:trendline>
    <cs:lnRef idx="0">
      <cs:styleClr val="0"/>
    </cs:lnRef>
    <cs:fillRef idx="0"/>
    <cs:effectRef idx="0"/>
    <cs:fontRef idx="minor">
      <a:schemeClr val="tx1"/>
    </cs:fontRef>
    <cs:spPr>
      <a:ln w="63500" cap="rnd" cmpd="sng" algn="ctr">
        <a:solidFill>
          <a:schemeClr val="phClr">
            <a:alpha val="25000"/>
          </a:schemeClr>
        </a:solidFill>
        <a:round/>
      </a:ln>
    </cs:spPr>
  </cs:trendline>
  <cs:trendlineLabel>
    <cs:lnRef idx="0"/>
    <cs:fillRef idx="0"/>
    <cs:effectRef idx="0"/>
    <cs:fontRef idx="minor">
      <a:schemeClr val="dk1">
        <a:lumMod val="50000"/>
        <a:lumOff val="50000"/>
      </a:schemeClr>
    </cs:fontRef>
    <cs:defRPr sz="900" kern="1200"/>
  </cs:trendlineLabel>
  <cs:upBar>
    <cs:lnRef idx="0"/>
    <cs:fillRef idx="0"/>
    <cs:effectRef idx="0"/>
    <cs:fontRef idx="minor">
      <a:schemeClr val="tx1"/>
    </cs:fontRef>
    <cs:spPr>
      <a:solidFill>
        <a:schemeClr val="lt1"/>
      </a:solidFill>
      <a:ln w="9525">
        <a:solidFill>
          <a:schemeClr val="dk1">
            <a:lumMod val="50000"/>
            <a:lumOff val="50000"/>
          </a:schemeClr>
        </a:solidFill>
      </a:ln>
    </cs:spPr>
  </cs:upBar>
  <cs:valueAxis>
    <cs:lnRef idx="0"/>
    <cs:fillRef idx="0"/>
    <cs:effectRef idx="0"/>
    <cs:fontRef idx="minor">
      <a:schemeClr val="dk1">
        <a:lumMod val="50000"/>
        <a:lumOff val="50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s>
</file>

<file path=xl/drawings/_rels/drawing1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30.xml"/><Relationship Id="rId2" Type="http://schemas.openxmlformats.org/officeDocument/2006/relationships/chart" Target="../charts/chart29.xml"/><Relationship Id="rId1" Type="http://schemas.openxmlformats.org/officeDocument/2006/relationships/chart" Target="../charts/chart28.xml"/></Relationships>
</file>

<file path=xl/drawings/_rels/drawing22.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s>
</file>

<file path=xl/drawings/_rels/drawing24.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42.xml"/><Relationship Id="rId2" Type="http://schemas.openxmlformats.org/officeDocument/2006/relationships/chart" Target="../charts/chart41.xml"/><Relationship Id="rId1" Type="http://schemas.openxmlformats.org/officeDocument/2006/relationships/chart" Target="../charts/chart40.xml"/></Relationships>
</file>

<file path=xl/drawings/_rels/drawing3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s>
</file>

<file path=xl/drawings/_rels/drawing32.xml.rels><?xml version="1.0" encoding="UTF-8" standalone="yes"?>
<Relationships xmlns="http://schemas.openxmlformats.org/package/2006/relationships"><Relationship Id="rId3" Type="http://schemas.openxmlformats.org/officeDocument/2006/relationships/chart" Target="../charts/chart48.xml"/><Relationship Id="rId2" Type="http://schemas.openxmlformats.org/officeDocument/2006/relationships/chart" Target="../charts/chart47.xml"/><Relationship Id="rId1" Type="http://schemas.openxmlformats.org/officeDocument/2006/relationships/chart" Target="../charts/chart46.xml"/></Relationships>
</file>

<file path=xl/drawings/_rels/drawing34.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s>
</file>

<file path=xl/drawings/_rels/drawing36.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s>
</file>

<file path=xl/drawings/_rels/drawing4.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0.xml.rels><?xml version="1.0" encoding="UTF-8" standalone="yes"?>
<Relationships xmlns="http://schemas.openxmlformats.org/package/2006/relationships"><Relationship Id="rId3" Type="http://schemas.openxmlformats.org/officeDocument/2006/relationships/chart" Target="../charts/chart60.xml"/><Relationship Id="rId2" Type="http://schemas.openxmlformats.org/officeDocument/2006/relationships/chart" Target="../charts/chart59.xml"/><Relationship Id="rId1" Type="http://schemas.openxmlformats.org/officeDocument/2006/relationships/chart" Target="../charts/chart58.xml"/></Relationships>
</file>

<file path=xl/drawings/_rels/drawing42.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6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editAs="oneCell">
    <xdr:from>
      <xdr:col>7</xdr:col>
      <xdr:colOff>272989</xdr:colOff>
      <xdr:row>8</xdr:row>
      <xdr:rowOff>284859</xdr:rowOff>
    </xdr:from>
    <xdr:to>
      <xdr:col>9</xdr:col>
      <xdr:colOff>42033</xdr:colOff>
      <xdr:row>14</xdr:row>
      <xdr:rowOff>308597</xdr:rowOff>
    </xdr:to>
    <xdr:pic>
      <xdr:nvPicPr>
        <xdr:cNvPr id="2" name="Gráfico 1">
          <a:extLst>
            <a:ext uri="{FF2B5EF4-FFF2-40B4-BE49-F238E27FC236}">
              <a16:creationId xmlns:a16="http://schemas.microsoft.com/office/drawing/2014/main" id="{903D8E15-DFFA-7547-897C-11AE07885CEA}"/>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tretch>
          <a:fillRect/>
        </a:stretch>
      </xdr:blipFill>
      <xdr:spPr>
        <a:xfrm>
          <a:off x="7525045" y="2575607"/>
          <a:ext cx="3021194" cy="145990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8068DE76-40CE-BF4B-B621-0F4F741CF6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D1B2B2DE-5A16-A94F-98B0-B5C22DB8A17F}"/>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85F93E96-203A-0C4D-88F4-3B669B76205C}"/>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69EA8316-B57E-8F4A-9C2A-C398C1CB0BC8}"/>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BC1144F3-2993-7842-99D1-52A99CCA9DAC}"/>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FEA52A1C-26C2-2F48-8B0D-A31E0387438C}"/>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D0D580D5-DC8D-D24F-8615-814C17C758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2.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E339350E-984C-A04B-9FFF-A98E46329A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4DBE8D75-EC98-0F45-A91D-67B7A0D4E4D4}"/>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47C575BD-8774-CF47-BB3E-711726C34081}"/>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14D3789F-2B97-5B4E-80BA-647EA56C3AD3}"/>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0F30D292-B1A9-1549-987D-581EB2E87221}"/>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610AE46C-400E-D145-8796-DAB19E78554B}"/>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0AF23D87-6D6C-554A-BF69-1AF0B50AF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4.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68A2ADDE-4EB6-EC40-8393-5541BD1E4E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347F321C-52FF-454C-897C-45479DF6C2AE}"/>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19AF99AB-5B49-4D43-987E-58EE242640F1}"/>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1725EBE7-83A4-A649-9B03-3208161FABE6}"/>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1F124386-A015-744C-8FC7-7289822ADDA8}"/>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398DD60D-67FC-DE4D-9F2A-AE40A0CD9906}"/>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65BEE2C3-FC47-E746-A9A3-1FB1B7F02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6.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DDEB2ADF-1F5E-3946-870A-2A4DB0B83E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F22709DD-1691-6248-A72A-1679A0EBBC65}"/>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041A3DFE-8A89-364E-A8B6-A9F523945669}"/>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EDAC53FF-B631-2445-9387-B90344D7386F}"/>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D76F00E7-D23C-2640-80DD-9A6137A5C24B}"/>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1C0B4EBA-5229-F94B-A1FD-E78C35C7AEC9}"/>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A6E4B567-5224-E94C-9AE2-8B350D6C31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7.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18.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536CBDD6-93A7-A54F-A610-53F84DBDF8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4559AA5C-2A19-7B44-B5E7-C4142BC76FEA}"/>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4A7575FE-631A-1F40-AFB2-BAC34D677A23}"/>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0AC01B5F-ED9B-0045-90F4-11F6D6AAC1B4}"/>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331AE8EE-DB30-964B-AC4D-316599EB55EE}"/>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A37592C0-F042-3843-B991-7FD61088A0D8}"/>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8332BB4C-0D5A-7C43-981B-68FF785FD2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2117BF32-BD57-DD43-B39B-7D31574AD1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24" name="Agrupar 28">
          <a:extLst>
            <a:ext uri="{FF2B5EF4-FFF2-40B4-BE49-F238E27FC236}">
              <a16:creationId xmlns:a16="http://schemas.microsoft.com/office/drawing/2014/main" id="{EADD9522-0448-9D40-9AF2-2B92478DE119}"/>
            </a:ext>
          </a:extLst>
        </xdr:cNvPr>
        <xdr:cNvGrpSpPr>
          <a:grpSpLocks noChangeAspect="1"/>
        </xdr:cNvGrpSpPr>
      </xdr:nvGrpSpPr>
      <xdr:grpSpPr>
        <a:xfrm>
          <a:off x="14956568" y="8575206"/>
          <a:ext cx="3804793" cy="4124093"/>
          <a:chOff x="21340" y="3756282"/>
          <a:chExt cx="6246745" cy="5946329"/>
        </a:xfrm>
      </xdr:grpSpPr>
      <xdr:graphicFrame macro="">
        <xdr:nvGraphicFramePr>
          <xdr:cNvPr id="28" name="Chart 1">
            <a:extLst>
              <a:ext uri="{FF2B5EF4-FFF2-40B4-BE49-F238E27FC236}">
                <a16:creationId xmlns:a16="http://schemas.microsoft.com/office/drawing/2014/main" id="{043343A0-7EE3-2543-9D89-734ECFDF3085}"/>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9" name="CuadroTexto 28">
            <a:extLst>
              <a:ext uri="{FF2B5EF4-FFF2-40B4-BE49-F238E27FC236}">
                <a16:creationId xmlns:a16="http://schemas.microsoft.com/office/drawing/2014/main" id="{8BC62440-64F3-F540-937D-4F78964825C3}"/>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30" name="CuadroTexto 29">
            <a:extLst>
              <a:ext uri="{FF2B5EF4-FFF2-40B4-BE49-F238E27FC236}">
                <a16:creationId xmlns:a16="http://schemas.microsoft.com/office/drawing/2014/main" id="{2998F00B-B348-054E-9210-410539B14833}"/>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31" name="CuadroTexto 30">
            <a:extLst>
              <a:ext uri="{FF2B5EF4-FFF2-40B4-BE49-F238E27FC236}">
                <a16:creationId xmlns:a16="http://schemas.microsoft.com/office/drawing/2014/main" id="{9B72A7F0-9A08-2A48-A80D-C7CEF31EDF47}"/>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33" name="Gráfico 32">
          <a:extLst>
            <a:ext uri="{FF2B5EF4-FFF2-40B4-BE49-F238E27FC236}">
              <a16:creationId xmlns:a16="http://schemas.microsoft.com/office/drawing/2014/main" id="{208D39EE-73FD-FB45-8DB1-33D036EF1A1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1CD2B960-0A2F-5A4B-AFF0-7357D50453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70F5A692-D32D-BF4D-B5C3-9CBE29322C92}"/>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8D82B867-2314-5640-A91D-E0526C8E1CD4}"/>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F1AEA97C-9D78-324C-B617-A6FB9611DE0A}"/>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B2DFE65B-342D-4449-9727-33ED6BB7D1D6}"/>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84DBFDBC-0C9C-DE4E-9BD5-53F41C7FDBD8}"/>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1ACE811E-CC86-BB41-AFDF-2160991ACF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2.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93C445B7-74E1-1142-9034-BCD4DF5389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0DE7144E-5ACC-1840-BC55-A19DB2424C21}"/>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2D6F324C-6403-3145-98FE-AF10549250AB}"/>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644E4531-26C5-454C-83D6-B493B4294BB8}"/>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F4D56003-F878-B442-912E-D81410C1C142}"/>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04233477-5183-154E-8C92-9804C2453286}"/>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3F443796-B4B8-DB40-8715-0E49184C79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4.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943B5364-E7F1-5844-BF79-8AFBCB812D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9B97F740-C8F3-B148-A8C2-63EB97C5FE63}"/>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01AE1CEA-5801-004F-8864-01E2E44AC665}"/>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DCF958DF-6604-294D-908B-27159B128DE2}"/>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5483153D-EFBE-F241-95DB-88970F1A5864}"/>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5F7C0982-29B2-9540-8938-3422180DA9CD}"/>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CB721D55-1594-234F-A465-A6D2332285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5.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6.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35454D57-12AD-4C41-8100-DAB790823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10DDE277-E4B9-7C40-8DBC-516969F4667C}"/>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1522AC4A-FC34-0349-93D3-349DE54E6F88}"/>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1FB60FE4-A001-D047-8585-93E4A8D40532}"/>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66CE64A3-8609-9F4F-8E6D-D94CC13887CA}"/>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4C26122D-DF96-844D-8DDD-CD7B390A84F0}"/>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3C27E4A9-E9A5-ED44-AD5B-6915C40CB9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28.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E2DA2896-009C-0842-BE3A-C9CCA3AE89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502F772E-292F-3D4E-8F0E-0072EB398376}"/>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62B25944-5A2D-5246-998A-DEE51373AAED}"/>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8131664E-44FA-7341-89A3-93E750812B22}"/>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44204F03-D3EB-2A4B-B9B8-60D2C38AE72D}"/>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640C4D8F-284C-3745-9B67-2374E2012E24}"/>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75A6912A-1664-FD4B-A4C2-63E18948F4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3.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30.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D5820EDF-20F4-4140-BD95-D917069B1E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ED748F92-9FE5-8545-ACCD-EA08E355BBEA}"/>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FE283BAC-CDD0-2C4A-91F3-08FBCD871EB5}"/>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7C3BB2BD-1D53-AD4C-BB65-CE274588376F}"/>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6EAFCBAD-0855-DC44-AAC6-3E71E898CC2E}"/>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28665783-C6DB-4645-A323-F7A589CEA153}"/>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C036B857-9F1D-EF42-978B-82BA651EF2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32.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4C8F213D-97F3-A545-971B-AEF949EE6C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57DAB1C5-C987-E04A-8D22-FDDE8B723DF9}"/>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EA2E6D25-9979-6142-A07A-1C0C0BA7231B}"/>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6B35DC48-D63A-204A-978F-3478EFF291BB}"/>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0E604497-23E3-E142-BC98-C1F48ECF6F47}"/>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E5F32192-4571-BA44-89FF-437884E6662E}"/>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4820FE1F-E6BC-BB40-9135-C4B9486E80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3.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34.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96E85CAE-3552-F546-9937-60A313D43F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0DE468CA-3249-3244-8E0E-3EEA6825312A}"/>
            </a:ext>
          </a:extLst>
        </xdr:cNvPr>
        <xdr:cNvGrpSpPr>
          <a:grpSpLocks noChangeAspect="1"/>
        </xdr:cNvGrpSpPr>
      </xdr:nvGrpSpPr>
      <xdr:grpSpPr>
        <a:xfrm>
          <a:off x="14867366" y="8365051"/>
          <a:ext cx="3797233" cy="4015236"/>
          <a:chOff x="21340" y="3756282"/>
          <a:chExt cx="6246745" cy="5946329"/>
        </a:xfrm>
      </xdr:grpSpPr>
      <xdr:graphicFrame macro="">
        <xdr:nvGraphicFramePr>
          <xdr:cNvPr id="4" name="Chart 1">
            <a:extLst>
              <a:ext uri="{FF2B5EF4-FFF2-40B4-BE49-F238E27FC236}">
                <a16:creationId xmlns:a16="http://schemas.microsoft.com/office/drawing/2014/main" id="{04BE6F0E-7FC6-0C47-B395-A20FE5510A6A}"/>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E9FA4996-EBFF-C943-B0AE-363EB3A87028}"/>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6A651802-7221-FB41-B39E-2864C65074FF}"/>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C20945F5-A98A-E849-9E4F-F69518F993CC}"/>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1E1C9395-D78E-1B44-B080-ED12F90316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5.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36.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F16E3D64-4490-D74D-B538-B0FAFA4747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59024317-748A-BA4D-A966-E4CFEA4FF25D}"/>
            </a:ext>
          </a:extLst>
        </xdr:cNvPr>
        <xdr:cNvGrpSpPr>
          <a:grpSpLocks noChangeAspect="1"/>
        </xdr:cNvGrpSpPr>
      </xdr:nvGrpSpPr>
      <xdr:grpSpPr>
        <a:xfrm>
          <a:off x="14867366" y="8365051"/>
          <a:ext cx="3797233" cy="4015236"/>
          <a:chOff x="21340" y="3756282"/>
          <a:chExt cx="6246745" cy="5946329"/>
        </a:xfrm>
      </xdr:grpSpPr>
      <xdr:graphicFrame macro="">
        <xdr:nvGraphicFramePr>
          <xdr:cNvPr id="4" name="Chart 1">
            <a:extLst>
              <a:ext uri="{FF2B5EF4-FFF2-40B4-BE49-F238E27FC236}">
                <a16:creationId xmlns:a16="http://schemas.microsoft.com/office/drawing/2014/main" id="{B8EEB61A-6324-D348-89D9-D3C51C5E9BD2}"/>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83FAFAB7-1252-3B43-B8C6-2055EFC07D73}"/>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0F4226FF-6099-E843-88C7-FBBF8C60EC96}"/>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53808CB7-1479-BE4C-8E11-A4D1551F2B81}"/>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B8037F5F-6D42-EF4A-A83C-6B99871EA6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7.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38.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B354619D-88BC-F54F-96B2-FAB63521C8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E96DB53A-1B55-0E41-A65A-667E1821EE97}"/>
            </a:ext>
          </a:extLst>
        </xdr:cNvPr>
        <xdr:cNvGrpSpPr>
          <a:grpSpLocks noChangeAspect="1"/>
        </xdr:cNvGrpSpPr>
      </xdr:nvGrpSpPr>
      <xdr:grpSpPr>
        <a:xfrm>
          <a:off x="14867366" y="8365051"/>
          <a:ext cx="3797233" cy="4015236"/>
          <a:chOff x="21340" y="3756282"/>
          <a:chExt cx="6246745" cy="5946329"/>
        </a:xfrm>
      </xdr:grpSpPr>
      <xdr:graphicFrame macro="">
        <xdr:nvGraphicFramePr>
          <xdr:cNvPr id="4" name="Chart 1">
            <a:extLst>
              <a:ext uri="{FF2B5EF4-FFF2-40B4-BE49-F238E27FC236}">
                <a16:creationId xmlns:a16="http://schemas.microsoft.com/office/drawing/2014/main" id="{96CE63EF-1D79-9042-BF4C-9BBEC1850898}"/>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AC3464A0-C8B6-FA46-A794-B824D7D6B42D}"/>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BFAECA0A-6DD2-C54A-83BD-9BAD17CABDBA}"/>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CB70D187-CCB1-3246-8A35-F380D8286967}"/>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532DA216-14FF-654F-B38E-13B067AE41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4.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6154C8B1-811A-BC42-8956-7E86B6B574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5483AE3E-1D2E-5143-B478-BAB843FD175E}"/>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AF8D5D21-91B5-3A4E-9403-26AF54D2DBCC}"/>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FF84F3BE-DDF1-374B-9F49-5F4AB7880810}"/>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06714F4E-90C4-354C-8508-792A6EAA1534}"/>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96FFA462-F5EA-3242-BF27-0FD222C83111}"/>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E257F14A-2415-5B40-98B7-5A0016F0AC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38EBF9C1-27DE-A14E-B95D-365D4E6E3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50EFC351-3F36-DA47-AB85-ECDDC513A07B}"/>
            </a:ext>
          </a:extLst>
        </xdr:cNvPr>
        <xdr:cNvGrpSpPr>
          <a:grpSpLocks noChangeAspect="1"/>
        </xdr:cNvGrpSpPr>
      </xdr:nvGrpSpPr>
      <xdr:grpSpPr>
        <a:xfrm>
          <a:off x="14867366" y="8365051"/>
          <a:ext cx="3797233" cy="4015236"/>
          <a:chOff x="21340" y="3756282"/>
          <a:chExt cx="6246745" cy="5946329"/>
        </a:xfrm>
      </xdr:grpSpPr>
      <xdr:graphicFrame macro="">
        <xdr:nvGraphicFramePr>
          <xdr:cNvPr id="4" name="Chart 1">
            <a:extLst>
              <a:ext uri="{FF2B5EF4-FFF2-40B4-BE49-F238E27FC236}">
                <a16:creationId xmlns:a16="http://schemas.microsoft.com/office/drawing/2014/main" id="{DB1F4B4A-5778-FE42-BFA3-56D09F8AF800}"/>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BD632161-5CBA-7C44-9659-CF3720604D6B}"/>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81685BBD-9D12-1745-B2E9-8CDD4A9222FA}"/>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C095EF7C-79F3-9042-8C93-5C704620A63B}"/>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993EA6C6-F3E6-E142-A9AC-7B85A662EF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42.xml><?xml version="1.0" encoding="utf-8"?>
<xdr:wsDr xmlns:xdr="http://schemas.openxmlformats.org/drawingml/2006/spreadsheetDrawing" xmlns:a="http://schemas.openxmlformats.org/drawingml/2006/main">
  <xdr:twoCellAnchor editAs="absolute">
    <xdr:from>
      <xdr:col>0</xdr:col>
      <xdr:colOff>206148</xdr:colOff>
      <xdr:row>1</xdr:row>
      <xdr:rowOff>80995</xdr:rowOff>
    </xdr:from>
    <xdr:to>
      <xdr:col>17</xdr:col>
      <xdr:colOff>562012</xdr:colOff>
      <xdr:row>36</xdr:row>
      <xdr:rowOff>50022</xdr:rowOff>
    </xdr:to>
    <xdr:graphicFrame macro="">
      <xdr:nvGraphicFramePr>
        <xdr:cNvPr id="2" name="Gráfico 1">
          <a:extLst>
            <a:ext uri="{FF2B5EF4-FFF2-40B4-BE49-F238E27FC236}">
              <a16:creationId xmlns:a16="http://schemas.microsoft.com/office/drawing/2014/main" id="{4EC8A7B8-922E-824E-B270-FEF7F82758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15</xdr:col>
      <xdr:colOff>233565</xdr:colOff>
      <xdr:row>1</xdr:row>
      <xdr:rowOff>119955</xdr:rowOff>
    </xdr:from>
    <xdr:to>
      <xdr:col>17</xdr:col>
      <xdr:colOff>379541</xdr:colOff>
      <xdr:row>4</xdr:row>
      <xdr:rowOff>146113</xdr:rowOff>
    </xdr:to>
    <xdr:pic>
      <xdr:nvPicPr>
        <xdr:cNvPr id="4" name="Gráfico 3">
          <a:extLst>
            <a:ext uri="{FF2B5EF4-FFF2-40B4-BE49-F238E27FC236}">
              <a16:creationId xmlns:a16="http://schemas.microsoft.com/office/drawing/2014/main" id="{94ED3831-1702-AB49-9A75-9B1A5C7BA67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0393565" y="411909"/>
          <a:ext cx="1051033" cy="507882"/>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6.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F0A1A774-FA54-4841-AC5C-B49E0D2B9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452746A3-8F78-A047-9BEC-710A9C09B420}"/>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D8989737-03AB-564C-B8DC-4BCB4D6F103F}"/>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14A15B8D-A824-6446-B87F-564C69105CA6}"/>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6829D8A4-9DC1-F441-B116-432D4412FBC7}"/>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3EFC5258-E6C2-ED42-935A-FE1E591EB629}"/>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5E890EE3-6991-554C-9110-29769F1073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twoCellAnchor>
    <xdr:from>
      <xdr:col>15</xdr:col>
      <xdr:colOff>1039513</xdr:colOff>
      <xdr:row>12</xdr:row>
      <xdr:rowOff>45692</xdr:rowOff>
    </xdr:from>
    <xdr:to>
      <xdr:col>18</xdr:col>
      <xdr:colOff>173379</xdr:colOff>
      <xdr:row>37</xdr:row>
      <xdr:rowOff>2648</xdr:rowOff>
    </xdr:to>
    <xdr:graphicFrame macro="">
      <xdr:nvGraphicFramePr>
        <xdr:cNvPr id="2" name="Gráfico 1">
          <a:extLst>
            <a:ext uri="{FF2B5EF4-FFF2-40B4-BE49-F238E27FC236}">
              <a16:creationId xmlns:a16="http://schemas.microsoft.com/office/drawing/2014/main" id="{5A4AAB7E-676C-EC49-86C2-07896780B4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16</xdr:col>
      <xdr:colOff>277485</xdr:colOff>
      <xdr:row>36</xdr:row>
      <xdr:rowOff>140289</xdr:rowOff>
    </xdr:from>
    <xdr:to>
      <xdr:col>18</xdr:col>
      <xdr:colOff>7694</xdr:colOff>
      <xdr:row>54</xdr:row>
      <xdr:rowOff>73382</xdr:rowOff>
    </xdr:to>
    <xdr:grpSp>
      <xdr:nvGrpSpPr>
        <xdr:cNvPr id="3" name="Agrupar 28">
          <a:extLst>
            <a:ext uri="{FF2B5EF4-FFF2-40B4-BE49-F238E27FC236}">
              <a16:creationId xmlns:a16="http://schemas.microsoft.com/office/drawing/2014/main" id="{7A9E79EF-AF88-3744-A332-DE6A17E8D120}"/>
            </a:ext>
          </a:extLst>
        </xdr:cNvPr>
        <xdr:cNvGrpSpPr>
          <a:grpSpLocks noChangeAspect="1"/>
        </xdr:cNvGrpSpPr>
      </xdr:nvGrpSpPr>
      <xdr:grpSpPr>
        <a:xfrm>
          <a:off x="15323961" y="8473908"/>
          <a:ext cx="3927257" cy="4069664"/>
          <a:chOff x="21340" y="3756282"/>
          <a:chExt cx="6246745" cy="5946329"/>
        </a:xfrm>
      </xdr:grpSpPr>
      <xdr:graphicFrame macro="">
        <xdr:nvGraphicFramePr>
          <xdr:cNvPr id="4" name="Chart 1">
            <a:extLst>
              <a:ext uri="{FF2B5EF4-FFF2-40B4-BE49-F238E27FC236}">
                <a16:creationId xmlns:a16="http://schemas.microsoft.com/office/drawing/2014/main" id="{7388A3E6-4595-5547-B680-D748AD7273DE}"/>
              </a:ext>
            </a:extLst>
          </xdr:cNvPr>
          <xdr:cNvGraphicFramePr>
            <a:graphicFrameLocks noChangeAspect="1"/>
          </xdr:cNvGraphicFramePr>
        </xdr:nvGraphicFramePr>
        <xdr:xfrm>
          <a:off x="21340" y="3756282"/>
          <a:ext cx="6246745" cy="5946329"/>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5" name="CuadroTexto 4">
            <a:extLst>
              <a:ext uri="{FF2B5EF4-FFF2-40B4-BE49-F238E27FC236}">
                <a16:creationId xmlns:a16="http://schemas.microsoft.com/office/drawing/2014/main" id="{EA330CAA-4BC1-1A4F-94F2-88923753CC09}"/>
              </a:ext>
            </a:extLst>
          </xdr:cNvPr>
          <xdr:cNvSpPr txBox="1"/>
        </xdr:nvSpPr>
        <xdr:spPr>
          <a:xfrm>
            <a:off x="2502191" y="4551114"/>
            <a:ext cx="1978299" cy="49713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Mesomorfia</a:t>
            </a:r>
          </a:p>
          <a:p>
            <a:endParaRPr lang="es-ES" sz="700" b="0" i="0">
              <a:solidFill>
                <a:schemeClr val="tx1">
                  <a:lumMod val="65000"/>
                  <a:lumOff val="35000"/>
                </a:schemeClr>
              </a:solidFill>
              <a:latin typeface="Avenir Book" panose="02000503020000020003" pitchFamily="2" charset="0"/>
            </a:endParaRPr>
          </a:p>
        </xdr:txBody>
      </xdr:sp>
      <xdr:sp macro="" textlink="">
        <xdr:nvSpPr>
          <xdr:cNvPr id="6" name="CuadroTexto 5">
            <a:extLst>
              <a:ext uri="{FF2B5EF4-FFF2-40B4-BE49-F238E27FC236}">
                <a16:creationId xmlns:a16="http://schemas.microsoft.com/office/drawing/2014/main" id="{EF04D891-4A57-994F-9CE7-1B57B96E1371}"/>
              </a:ext>
            </a:extLst>
          </xdr:cNvPr>
          <xdr:cNvSpPr txBox="1"/>
        </xdr:nvSpPr>
        <xdr:spPr>
          <a:xfrm>
            <a:off x="211198" y="8559105"/>
            <a:ext cx="1608485"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Endomorfia</a:t>
            </a:r>
          </a:p>
          <a:p>
            <a:endParaRPr lang="es-ES" sz="800" b="0" i="0">
              <a:solidFill>
                <a:schemeClr val="tx1">
                  <a:lumMod val="65000"/>
                  <a:lumOff val="35000"/>
                </a:schemeClr>
              </a:solidFill>
              <a:latin typeface="Avenir Book" panose="02000503020000020003" pitchFamily="2" charset="0"/>
            </a:endParaRPr>
          </a:p>
        </xdr:txBody>
      </xdr:sp>
      <xdr:sp macro="" textlink="">
        <xdr:nvSpPr>
          <xdr:cNvPr id="7" name="CuadroTexto 6">
            <a:extLst>
              <a:ext uri="{FF2B5EF4-FFF2-40B4-BE49-F238E27FC236}">
                <a16:creationId xmlns:a16="http://schemas.microsoft.com/office/drawing/2014/main" id="{EB4D3BDB-9184-E84B-A54C-AFBA2B6C700D}"/>
              </a:ext>
            </a:extLst>
          </xdr:cNvPr>
          <xdr:cNvSpPr txBox="1"/>
        </xdr:nvSpPr>
        <xdr:spPr>
          <a:xfrm>
            <a:off x="4867023" y="8547717"/>
            <a:ext cx="1293747" cy="520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ES" sz="900" b="0" i="0">
                <a:solidFill>
                  <a:schemeClr val="tx1">
                    <a:lumMod val="65000"/>
                    <a:lumOff val="35000"/>
                  </a:schemeClr>
                </a:solidFill>
                <a:latin typeface="Avenir Book" panose="02000503020000020003" pitchFamily="2" charset="0"/>
              </a:rPr>
              <a:t>Ectomorfia</a:t>
            </a:r>
          </a:p>
          <a:p>
            <a:endParaRPr lang="es-ES" sz="800" b="0" i="0">
              <a:solidFill>
                <a:schemeClr val="tx1">
                  <a:lumMod val="65000"/>
                  <a:lumOff val="35000"/>
                </a:schemeClr>
              </a:solidFill>
              <a:latin typeface="Avenir Book" panose="02000503020000020003" pitchFamily="2" charset="0"/>
            </a:endParaRPr>
          </a:p>
        </xdr:txBody>
      </xdr:sp>
    </xdr:grpSp>
    <xdr:clientData/>
  </xdr:twoCellAnchor>
  <xdr:twoCellAnchor>
    <xdr:from>
      <xdr:col>16</xdr:col>
      <xdr:colOff>710108</xdr:colOff>
      <xdr:row>53</xdr:row>
      <xdr:rowOff>0</xdr:rowOff>
    </xdr:from>
    <xdr:to>
      <xdr:col>17</xdr:col>
      <xdr:colOff>2963333</xdr:colOff>
      <xdr:row>65</xdr:row>
      <xdr:rowOff>177527</xdr:rowOff>
    </xdr:to>
    <xdr:graphicFrame macro="">
      <xdr:nvGraphicFramePr>
        <xdr:cNvPr id="8" name="Gráfico 7">
          <a:extLst>
            <a:ext uri="{FF2B5EF4-FFF2-40B4-BE49-F238E27FC236}">
              <a16:creationId xmlns:a16="http://schemas.microsoft.com/office/drawing/2014/main" id="{F569B6A1-61C1-584A-8470-224A55CC78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0.13883</cdr:x>
      <cdr:y>0.43887</cdr:y>
    </cdr:from>
    <cdr:to>
      <cdr:x>0.75044</cdr:x>
      <cdr:y>0.78663</cdr:y>
    </cdr:to>
    <cdr:sp macro="" textlink="">
      <cdr:nvSpPr>
        <cdr:cNvPr id="2049" name="Line 1"/>
        <cdr:cNvSpPr>
          <a:spLocks xmlns:a="http://schemas.openxmlformats.org/drawingml/2006/main" noChangeShapeType="1"/>
        </cdr:cNvSpPr>
      </cdr:nvSpPr>
      <cdr:spPr bwMode="auto">
        <a:xfrm xmlns:a="http://schemas.openxmlformats.org/drawingml/2006/main" flipV="1">
          <a:off x="870184" y="2483215"/>
          <a:ext cx="3833519" cy="1967716"/>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0.22388</cdr:x>
      <cdr:y>0.43748</cdr:y>
    </cdr:from>
    <cdr:to>
      <cdr:x>0.83799</cdr:x>
      <cdr:y>0.78802</cdr:y>
    </cdr:to>
    <cdr:sp macro="" textlink="">
      <cdr:nvSpPr>
        <cdr:cNvPr id="2050" name="Line 2"/>
        <cdr:cNvSpPr>
          <a:spLocks xmlns:a="http://schemas.openxmlformats.org/drawingml/2006/main" noChangeShapeType="1"/>
        </cdr:cNvSpPr>
      </cdr:nvSpPr>
      <cdr:spPr bwMode="auto">
        <a:xfrm xmlns:a="http://schemas.openxmlformats.org/drawingml/2006/main">
          <a:off x="1403271" y="2475375"/>
          <a:ext cx="3849198" cy="1983395"/>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0.1407</cdr:x>
      <cdr:y>0.18863</cdr:y>
    </cdr:from>
    <cdr:to>
      <cdr:x>0.83302</cdr:x>
      <cdr:y>0.84261</cdr:y>
    </cdr:to>
    <cdr:sp macro="" textlink="">
      <cdr:nvSpPr>
        <cdr:cNvPr id="2052" name="Freeform 4"/>
        <cdr:cNvSpPr>
          <a:spLocks xmlns:a="http://schemas.openxmlformats.org/drawingml/2006/main"/>
        </cdr:cNvSpPr>
      </cdr:nvSpPr>
      <cdr:spPr bwMode="auto">
        <a:xfrm xmlns:a="http://schemas.openxmlformats.org/drawingml/2006/main">
          <a:off x="638174" y="840657"/>
          <a:ext cx="3140075" cy="2914650"/>
        </a:xfrm>
        <a:custGeom xmlns:a="http://schemas.openxmlformats.org/drawingml/2006/main">
          <a:avLst/>
          <a:gdLst>
            <a:gd name="T0" fmla="*/ 0 w 3737808"/>
            <a:gd name="T1" fmla="*/ 4111709 h 4472036"/>
            <a:gd name="T2" fmla="*/ 12310 w 3737808"/>
            <a:gd name="T3" fmla="*/ 3453308 h 4472036"/>
            <a:gd name="T4" fmla="*/ 81510 w 3737808"/>
            <a:gd name="T5" fmla="*/ 2851671 h 4472036"/>
            <a:gd name="T6" fmla="*/ 221242 w 3737808"/>
            <a:gd name="T7" fmla="*/ 2294600 h 4472036"/>
            <a:gd name="T8" fmla="*/ 447949 w 3737808"/>
            <a:gd name="T9" fmla="*/ 1688947 h 4472036"/>
            <a:gd name="T10" fmla="*/ 678757 w 3737808"/>
            <a:gd name="T11" fmla="*/ 1255146 h 4472036"/>
            <a:gd name="T12" fmla="*/ 1017537 w 3737808"/>
            <a:gd name="T13" fmla="*/ 781274 h 4472036"/>
            <a:gd name="T14" fmla="*/ 1472967 w 3737808"/>
            <a:gd name="T15" fmla="*/ 313173 h 4472036"/>
            <a:gd name="T16" fmla="*/ 1874726 w 3737808"/>
            <a:gd name="T17" fmla="*/ 0 h 4472036"/>
            <a:gd name="T18" fmla="*/ 2285355 w 3737808"/>
            <a:gd name="T19" fmla="*/ 327408 h 4472036"/>
            <a:gd name="T20" fmla="*/ 2687448 w 3737808"/>
            <a:gd name="T21" fmla="*/ 755263 h 4472036"/>
            <a:gd name="T22" fmla="*/ 3004220 w 3737808"/>
            <a:gd name="T23" fmla="*/ 1193723 h 4472036"/>
            <a:gd name="T24" fmla="*/ 3272037 w 3737808"/>
            <a:gd name="T25" fmla="*/ 1711001 h 4472036"/>
            <a:gd name="T26" fmla="*/ 3458345 w 3737808"/>
            <a:gd name="T27" fmla="*/ 2254810 h 4472036"/>
            <a:gd name="T28" fmla="*/ 3593033 w 3737808"/>
            <a:gd name="T29" fmla="*/ 2786826 h 4472036"/>
            <a:gd name="T30" fmla="*/ 3690193 w 3737808"/>
            <a:gd name="T31" fmla="*/ 3425771 h 4472036"/>
            <a:gd name="T32" fmla="*/ 3737808 w 3737808"/>
            <a:gd name="T33" fmla="*/ 4111709 h 4472036"/>
            <a:gd name="T34" fmla="*/ 3318617 w 3737808"/>
            <a:gd name="T35" fmla="*/ 4257610 h 4472036"/>
            <a:gd name="T36" fmla="*/ 2899421 w 3737808"/>
            <a:gd name="T37" fmla="*/ 4350455 h 4472036"/>
            <a:gd name="T38" fmla="*/ 2387075 w 3737808"/>
            <a:gd name="T39" fmla="*/ 4443300 h 4472036"/>
            <a:gd name="T40" fmla="*/ 1874726 w 3737808"/>
            <a:gd name="T41" fmla="*/ 4469826 h 4472036"/>
            <a:gd name="T42" fmla="*/ 1350734 w 3737808"/>
            <a:gd name="T43" fmla="*/ 4430036 h 4472036"/>
            <a:gd name="T44" fmla="*/ 884963 w 3737808"/>
            <a:gd name="T45" fmla="*/ 4363718 h 4472036"/>
            <a:gd name="T46" fmla="*/ 477415 w 3737808"/>
            <a:gd name="T47" fmla="*/ 4270873 h 4472036"/>
            <a:gd name="T48" fmla="*/ 0 w 3737808"/>
            <a:gd name="T49" fmla="*/ 4111709 h 44720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737808" h="4472036">
              <a:moveTo>
                <a:pt x="0" y="4111709"/>
              </a:moveTo>
              <a:cubicBezTo>
                <a:pt x="6154" y="3782508"/>
                <a:pt x="12310" y="3453308"/>
                <a:pt x="12310" y="3453308"/>
              </a:cubicBezTo>
              <a:cubicBezTo>
                <a:pt x="25895" y="3243302"/>
                <a:pt x="46688" y="3044789"/>
                <a:pt x="81510" y="2851671"/>
              </a:cubicBezTo>
              <a:cubicBezTo>
                <a:pt x="116331" y="2658553"/>
                <a:pt x="157198" y="2484711"/>
                <a:pt x="221242" y="2294600"/>
              </a:cubicBezTo>
              <a:cubicBezTo>
                <a:pt x="285286" y="2104487"/>
                <a:pt x="369256" y="1861238"/>
                <a:pt x="447949" y="1688947"/>
              </a:cubicBezTo>
              <a:cubicBezTo>
                <a:pt x="526642" y="1516654"/>
                <a:pt x="586796" y="1410101"/>
                <a:pt x="678757" y="1255146"/>
              </a:cubicBezTo>
              <a:cubicBezTo>
                <a:pt x="770718" y="1100193"/>
                <a:pt x="887610" y="939218"/>
                <a:pt x="1017537" y="781274"/>
              </a:cubicBezTo>
              <a:cubicBezTo>
                <a:pt x="1147464" y="623328"/>
                <a:pt x="1330103" y="443385"/>
                <a:pt x="1472967" y="313173"/>
              </a:cubicBezTo>
              <a:cubicBezTo>
                <a:pt x="1472967" y="313173"/>
                <a:pt x="1673846" y="156586"/>
                <a:pt x="1874726" y="0"/>
              </a:cubicBezTo>
              <a:cubicBezTo>
                <a:pt x="2080041" y="163705"/>
                <a:pt x="2285355" y="327408"/>
                <a:pt x="2285355" y="327408"/>
              </a:cubicBezTo>
              <a:cubicBezTo>
                <a:pt x="2420809" y="453284"/>
                <a:pt x="2567635" y="610878"/>
                <a:pt x="2687448" y="755263"/>
              </a:cubicBezTo>
              <a:cubicBezTo>
                <a:pt x="2807258" y="899647"/>
                <a:pt x="2906788" y="1034432"/>
                <a:pt x="3004220" y="1193723"/>
              </a:cubicBezTo>
              <a:cubicBezTo>
                <a:pt x="3101651" y="1353012"/>
                <a:pt x="3196349" y="1534153"/>
                <a:pt x="3272037" y="1711001"/>
              </a:cubicBezTo>
              <a:cubicBezTo>
                <a:pt x="3347725" y="1887849"/>
                <a:pt x="3402064" y="2073540"/>
                <a:pt x="3458345" y="2254810"/>
              </a:cubicBezTo>
              <a:cubicBezTo>
                <a:pt x="3514626" y="2436077"/>
                <a:pt x="3550335" y="2592294"/>
                <a:pt x="3593033" y="2786826"/>
              </a:cubicBezTo>
              <a:cubicBezTo>
                <a:pt x="3635728" y="2981359"/>
                <a:pt x="3668845" y="3206922"/>
                <a:pt x="3690193" y="3425771"/>
              </a:cubicBezTo>
              <a:cubicBezTo>
                <a:pt x="3690193" y="3425771"/>
                <a:pt x="3726163" y="3766857"/>
                <a:pt x="3737808" y="4111709"/>
              </a:cubicBezTo>
              <a:cubicBezTo>
                <a:pt x="3528212" y="4184661"/>
                <a:pt x="3318617" y="4257610"/>
                <a:pt x="3318617" y="4257610"/>
              </a:cubicBezTo>
              <a:cubicBezTo>
                <a:pt x="3178885" y="4297402"/>
                <a:pt x="3054679" y="4319506"/>
                <a:pt x="2899421" y="4350455"/>
              </a:cubicBezTo>
              <a:cubicBezTo>
                <a:pt x="2744165" y="4381404"/>
                <a:pt x="2557857" y="4423405"/>
                <a:pt x="2387075" y="4443300"/>
              </a:cubicBezTo>
              <a:cubicBezTo>
                <a:pt x="2216291" y="4463195"/>
                <a:pt x="2047449" y="4472036"/>
                <a:pt x="1874726" y="4469826"/>
              </a:cubicBezTo>
              <a:cubicBezTo>
                <a:pt x="1702002" y="4467616"/>
                <a:pt x="1515695" y="4447721"/>
                <a:pt x="1350734" y="4430036"/>
              </a:cubicBezTo>
              <a:cubicBezTo>
                <a:pt x="1185774" y="4412351"/>
                <a:pt x="1030518" y="4390244"/>
                <a:pt x="884963" y="4363718"/>
              </a:cubicBezTo>
              <a:cubicBezTo>
                <a:pt x="739410" y="4337191"/>
                <a:pt x="624909" y="4312873"/>
                <a:pt x="477415" y="4270873"/>
              </a:cubicBezTo>
              <a:cubicBezTo>
                <a:pt x="477415" y="4270873"/>
                <a:pt x="238708" y="4191291"/>
                <a:pt x="0" y="4111709"/>
              </a:cubicBezTo>
              <a:close/>
            </a:path>
          </a:pathLst>
        </a:custGeom>
        <a:noFill xmlns:a="http://schemas.openxmlformats.org/drawingml/2006/main"/>
        <a:ln xmlns:a="http://schemas.openxmlformats.org/drawingml/2006/main" w="19050" cap="flat" cmpd="sng">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0.48651</cdr:x>
      <cdr:y>0.18863</cdr:y>
    </cdr:from>
    <cdr:to>
      <cdr:x>0.48721</cdr:x>
      <cdr:y>0.84261</cdr:y>
    </cdr:to>
    <cdr:sp macro="" textlink="">
      <cdr:nvSpPr>
        <cdr:cNvPr id="2051" name="Line 3"/>
        <cdr:cNvSpPr>
          <a:spLocks xmlns:a="http://schemas.openxmlformats.org/drawingml/2006/main" noChangeShapeType="1"/>
        </cdr:cNvSpPr>
      </cdr:nvSpPr>
      <cdr:spPr bwMode="auto">
        <a:xfrm xmlns:a="http://schemas.openxmlformats.org/drawingml/2006/main" flipH="1">
          <a:off x="2206626" y="840657"/>
          <a:ext cx="3174" cy="291465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808080" mc:Ignorable="a14" a14:legacySpreadsheetColorIndex="23"/>
          </a:solidFill>
          <a:prstDash val="dash"/>
          <a:round/>
          <a:headEnd/>
          <a:tailEn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xmlns="">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K48"/>
  <sheetViews>
    <sheetView showGridLines="0" topLeftCell="A16" zoomScale="107" workbookViewId="0">
      <selection activeCell="H3" sqref="H3:I3"/>
    </sheetView>
  </sheetViews>
  <sheetFormatPr baseColWidth="10" defaultColWidth="9.140625" defaultRowHeight="12.75" x14ac:dyDescent="0.2"/>
  <cols>
    <col min="1" max="2" width="3.28515625" style="2" customWidth="1"/>
    <col min="3" max="6" width="21.28515625" style="2" customWidth="1"/>
    <col min="7" max="7" width="3.28515625" style="2" customWidth="1"/>
    <col min="8" max="9" width="21.28515625" style="2" customWidth="1"/>
    <col min="10" max="10" width="3.28515625" style="2" customWidth="1"/>
    <col min="11" max="16384" width="9.140625" style="2"/>
  </cols>
  <sheetData>
    <row r="1" spans="1:10" s="3" customFormat="1" ht="22.9" customHeight="1" x14ac:dyDescent="0.2">
      <c r="A1" s="4"/>
      <c r="B1" s="233" t="str">
        <f>IF(J3,"GENERAL INFORMATION","INFORMACIÓN GENERAL")</f>
        <v>INFORMACIÓN GENERAL</v>
      </c>
      <c r="C1" s="233"/>
      <c r="D1" s="233"/>
      <c r="E1" s="233"/>
      <c r="F1" s="233"/>
      <c r="G1" s="233"/>
      <c r="H1" s="233"/>
      <c r="I1" s="233"/>
    </row>
    <row r="3" spans="1:10" ht="40.15" customHeight="1" x14ac:dyDescent="0.2">
      <c r="B3" s="237" t="s">
        <v>35</v>
      </c>
      <c r="C3" s="238"/>
      <c r="D3" s="238"/>
      <c r="E3" s="238"/>
      <c r="F3" s="238"/>
      <c r="G3" s="122"/>
      <c r="H3" s="235" t="s">
        <v>50</v>
      </c>
      <c r="I3" s="235"/>
      <c r="J3" s="105">
        <f>IF(H3="English / Inglés",1,0)</f>
        <v>0</v>
      </c>
    </row>
    <row r="4" spans="1:10" s="5" customFormat="1" ht="15.75" x14ac:dyDescent="0.2">
      <c r="B4" s="10"/>
      <c r="C4" s="10"/>
      <c r="D4" s="10"/>
      <c r="E4" s="11"/>
      <c r="F4" s="11"/>
      <c r="G4" s="11"/>
      <c r="H4" s="11"/>
      <c r="I4" s="11"/>
    </row>
    <row r="5" spans="1:10" s="5" customFormat="1" ht="40.15" customHeight="1" x14ac:dyDescent="0.2">
      <c r="B5" s="236" t="str">
        <f>IF(J3, "Proforma ISAK Level:", "Proforma ISAK Nivel:")</f>
        <v>Proforma ISAK Nivel:</v>
      </c>
      <c r="C5" s="236"/>
      <c r="D5" s="236"/>
      <c r="E5" s="236"/>
      <c r="F5" s="236"/>
      <c r="G5" s="123"/>
      <c r="H5" s="234">
        <v>1</v>
      </c>
      <c r="I5" s="234"/>
    </row>
    <row r="6" spans="1:10" s="6" customFormat="1" ht="15" x14ac:dyDescent="0.2"/>
    <row r="7" spans="1:10" ht="15" x14ac:dyDescent="0.2">
      <c r="B7" s="1" t="s">
        <v>36</v>
      </c>
      <c r="C7" s="240" t="str">
        <f>IF(J3,"This Excel file was created to register your measurements of 20 subjects and to calculate your Technical Error of Measurement after that.","Este archivo de Excel ha sido creado para registrar sus mediciones de los 20 sujetos y para calcular su Error Técnico de Medida.")</f>
        <v>Este archivo de Excel ha sido creado para registrar sus mediciones de los 20 sujetos y para calcular su Error Técnico de Medida.</v>
      </c>
      <c r="D7" s="240"/>
      <c r="E7" s="240"/>
      <c r="F7" s="240"/>
      <c r="G7" s="240"/>
      <c r="H7" s="240"/>
      <c r="I7" s="240"/>
      <c r="J7" s="3"/>
    </row>
    <row r="8" spans="1:10" ht="15" x14ac:dyDescent="0.2">
      <c r="B8" s="1"/>
      <c r="C8" s="12"/>
      <c r="D8" s="12"/>
      <c r="E8" s="12"/>
      <c r="F8" s="12"/>
      <c r="G8" s="12"/>
      <c r="H8" s="12"/>
      <c r="I8" s="12"/>
      <c r="J8" s="3"/>
    </row>
    <row r="9" spans="1:10" ht="34.15" customHeight="1" x14ac:dyDescent="0.2">
      <c r="B9" s="1" t="s">
        <v>37</v>
      </c>
      <c r="C9" s="240" t="str">
        <f>IF(J3,"You must take measurements of twenty (20) individuals, registering two times for each varaible, or three times if it is indicated in the corresponding cell.","Debe tomar medidas de veinte (20) individuos, registrando dos veces cada varaible, o tres veces si así se indica en la celda correspondiente.")</f>
        <v>Debe tomar medidas de veinte (20) individuos, registrando dos veces cada varaible, o tres veces si así se indica en la celda correspondiente.</v>
      </c>
      <c r="D9" s="240"/>
      <c r="E9" s="240"/>
      <c r="F9" s="240"/>
      <c r="G9" s="121"/>
      <c r="H9" s="121"/>
      <c r="I9" s="121"/>
      <c r="J9" s="3"/>
    </row>
    <row r="10" spans="1:10" ht="15" x14ac:dyDescent="0.2">
      <c r="B10" s="1"/>
      <c r="C10" s="12"/>
      <c r="D10" s="12"/>
      <c r="E10" s="12"/>
      <c r="F10" s="12"/>
      <c r="G10" s="12"/>
      <c r="H10" s="12"/>
      <c r="I10" s="12"/>
      <c r="J10" s="3"/>
    </row>
    <row r="11" spans="1:10" ht="16.149999999999999" customHeight="1" x14ac:dyDescent="0.2">
      <c r="B11" s="1" t="s">
        <v>38</v>
      </c>
      <c r="C11" s="240" t="str">
        <f>IF(J3,"You must complete the grey cells of the tabs ''1'' to ''20''","Debe completar las celdas coloreadas en gris de las pestañas ''1'' a ''20''.")</f>
        <v>Debe completar las celdas coloreadas en gris de las pestañas ''1'' a ''20''.</v>
      </c>
      <c r="D11" s="240"/>
      <c r="E11" s="240"/>
      <c r="F11" s="240"/>
      <c r="G11" s="121"/>
      <c r="H11" s="121"/>
      <c r="I11" s="121"/>
      <c r="J11" s="3"/>
    </row>
    <row r="12" spans="1:10" ht="15" x14ac:dyDescent="0.2">
      <c r="B12" s="1"/>
      <c r="C12" s="12"/>
      <c r="D12" s="12"/>
      <c r="E12" s="12"/>
      <c r="F12" s="12"/>
      <c r="G12" s="12"/>
      <c r="H12" s="12"/>
      <c r="I12" s="12"/>
      <c r="J12" s="3"/>
    </row>
    <row r="13" spans="1:10" ht="16.149999999999999" customHeight="1" x14ac:dyDescent="0.2">
      <c r="B13" s="1" t="s">
        <v>39</v>
      </c>
      <c r="C13" s="240" t="str">
        <f>IF(J3,"You must not change the name of any tab.","No cambie el nombre de las pestañas del excel.")</f>
        <v>No cambie el nombre de las pestañas del excel.</v>
      </c>
      <c r="D13" s="240"/>
      <c r="E13" s="240"/>
      <c r="F13" s="240"/>
      <c r="G13" s="121"/>
      <c r="H13" s="121"/>
      <c r="I13" s="121"/>
      <c r="J13" s="3"/>
    </row>
    <row r="14" spans="1:10" ht="15" x14ac:dyDescent="0.2">
      <c r="B14" s="1"/>
      <c r="C14" s="12"/>
      <c r="D14" s="12"/>
      <c r="E14" s="12"/>
      <c r="F14" s="12"/>
      <c r="G14" s="12"/>
      <c r="H14" s="12"/>
      <c r="I14" s="12"/>
      <c r="J14" s="3"/>
    </row>
    <row r="15" spans="1:10" ht="49.9" customHeight="1" x14ac:dyDescent="0.2">
      <c r="B15" s="1" t="s">
        <v>40</v>
      </c>
      <c r="C15" s="240" t="str">
        <f>IF(J3,"If you want to print information out for the subject, it is necessary to save that tab as a pdf. The file is ready to automatically take the individual's report.","Si desea entregar un informe a la persona ecaluada puede guardar como PDF la pestaña en la que ha incluido las medidas de dicho sujeto. El archivo está preparado para sacar automáticamente su informe individual.")</f>
        <v>Si desea entregar un informe a la persona ecaluada puede guardar como PDF la pestaña en la que ha incluido las medidas de dicho sujeto. El archivo está preparado para sacar automáticamente su informe individual.</v>
      </c>
      <c r="D15" s="240"/>
      <c r="E15" s="240"/>
      <c r="F15" s="240"/>
      <c r="G15" s="121"/>
      <c r="H15" s="121"/>
      <c r="I15" s="121"/>
      <c r="J15" s="3"/>
    </row>
    <row r="16" spans="1:10" ht="15" x14ac:dyDescent="0.2">
      <c r="B16" s="1"/>
      <c r="C16" s="12"/>
      <c r="D16" s="12"/>
      <c r="E16" s="12"/>
      <c r="F16" s="12"/>
      <c r="G16" s="12"/>
      <c r="H16" s="12"/>
      <c r="I16" s="12"/>
      <c r="J16" s="3"/>
    </row>
    <row r="17" spans="1:11" ht="34.15" customHeight="1" x14ac:dyDescent="0.2">
      <c r="B17" s="1" t="s">
        <v>41</v>
      </c>
      <c r="C17" s="240" t="str">
        <f>IF(J3,"While typing in data, make sure to save the spreadsheet frequently in order to avoid accidents which could result in loss of typed data.","Mientras que introduce los datos, asegúrese de grabar con frecuencia la hoja para la toma de datos de manera que evite accidentes que podrían producir la perdida de datos.")</f>
        <v>Mientras que introduce los datos, asegúrese de grabar con frecuencia la hoja para la toma de datos de manera que evite accidentes que podrían producir la perdida de datos.</v>
      </c>
      <c r="D17" s="240"/>
      <c r="E17" s="240"/>
      <c r="F17" s="240"/>
      <c r="G17" s="240"/>
      <c r="H17" s="240"/>
      <c r="I17" s="240"/>
      <c r="J17" s="3"/>
    </row>
    <row r="18" spans="1:11" ht="15" x14ac:dyDescent="0.2">
      <c r="B18" s="1"/>
      <c r="C18" s="12"/>
      <c r="D18" s="12"/>
      <c r="E18" s="12"/>
      <c r="F18" s="12"/>
      <c r="G18" s="12"/>
      <c r="H18" s="12"/>
      <c r="I18" s="12"/>
      <c r="J18" s="3"/>
    </row>
    <row r="19" spans="1:11" ht="15" x14ac:dyDescent="0.2">
      <c r="B19" s="1" t="s">
        <v>42</v>
      </c>
      <c r="C19" s="240" t="str">
        <f>IF(J3,"When you finish entering the data of the 20 subjects, send this sheet to the instructor responsible for your course.","Cuando termine de introducir los datos de los 20 sujetos, envíe esta hoja al instructor responsable de su curso.")</f>
        <v>Cuando termine de introducir los datos de los 20 sujetos, envíe esta hoja al instructor responsable de su curso.</v>
      </c>
      <c r="D19" s="240"/>
      <c r="E19" s="240"/>
      <c r="F19" s="240"/>
      <c r="G19" s="240"/>
      <c r="H19" s="240"/>
      <c r="I19" s="240"/>
      <c r="J19" s="3"/>
    </row>
    <row r="20" spans="1:11" ht="15" x14ac:dyDescent="0.2">
      <c r="B20" s="1"/>
      <c r="C20" s="12"/>
      <c r="D20" s="12"/>
      <c r="E20" s="12"/>
      <c r="F20" s="12"/>
      <c r="G20" s="12"/>
      <c r="H20" s="12"/>
      <c r="I20" s="12"/>
      <c r="J20" s="3"/>
    </row>
    <row r="21" spans="1:11" ht="15" x14ac:dyDescent="0.2">
      <c r="B21" s="1" t="s">
        <v>43</v>
      </c>
      <c r="C21" s="240" t="str">
        <f>IF(J3,"In the sheet named ''TEM-ICC ETM-ICC'' shows a graph comparing the measured and target % TEM.","En la hoja llamada ''TEM-ICC ETM-ICC'' se muestra un gráfico que compara los errores ETM medidos y el porcentaje objetivo.")</f>
        <v>En la hoja llamada ''TEM-ICC ETM-ICC'' se muestra un gráfico que compara los errores ETM medidos y el porcentaje objetivo.</v>
      </c>
      <c r="D21" s="240"/>
      <c r="E21" s="240"/>
      <c r="F21" s="240"/>
      <c r="G21" s="240"/>
      <c r="H21" s="240"/>
      <c r="I21" s="240"/>
      <c r="J21" s="3"/>
    </row>
    <row r="22" spans="1:11" ht="34.15" customHeight="1" x14ac:dyDescent="0.2">
      <c r="C22" s="3"/>
      <c r="D22" s="3"/>
      <c r="E22" s="3"/>
      <c r="F22" s="3"/>
      <c r="G22" s="3"/>
      <c r="H22" s="3"/>
      <c r="I22" s="3"/>
      <c r="J22" s="3"/>
    </row>
    <row r="23" spans="1:11" s="3" customFormat="1" ht="22.9" customHeight="1" x14ac:dyDescent="0.2">
      <c r="A23" s="4"/>
      <c r="B23" s="233" t="str">
        <f>IF(J3,"SPREADSHEET FOR MEASUREMENT ERROR","HOJA DE CALCULO PARA EL ERROR DE MEDIDA")</f>
        <v>HOJA DE CALCULO PARA EL ERROR DE MEDIDA</v>
      </c>
      <c r="C23" s="233"/>
      <c r="D23" s="233"/>
      <c r="E23" s="233"/>
      <c r="F23" s="233"/>
      <c r="G23" s="233"/>
      <c r="H23" s="233"/>
      <c r="I23" s="233"/>
    </row>
    <row r="24" spans="1:11" ht="15" x14ac:dyDescent="0.2">
      <c r="A24" s="6"/>
      <c r="B24" s="6"/>
      <c r="C24" s="6"/>
      <c r="D24" s="6"/>
      <c r="E24" s="6"/>
      <c r="F24" s="6"/>
      <c r="G24" s="6"/>
      <c r="H24" s="6"/>
      <c r="I24" s="6"/>
      <c r="J24" s="6"/>
      <c r="K24" s="6"/>
    </row>
    <row r="25" spans="1:11" ht="34.15" customHeight="1" x14ac:dyDescent="0.2">
      <c r="A25" s="6"/>
      <c r="B25" s="14" t="s">
        <v>44</v>
      </c>
      <c r="C25" s="240" t="str">
        <f>IF(Info!J3,"This spreadsheet calculates the Technical Error of Measurement (TEM) and the Intraclass Correlation Coefficient (ICC) from a one-way ANOVA.","Esta hoja de cálculo permite el calculo del Error Tecnico de Medida (ETM) y el coeficiente de Correlación Intraclase (ICC) por el metodo ANOVA.")</f>
        <v>Esta hoja de cálculo permite el calculo del Error Tecnico de Medida (ETM) y el coeficiente de Correlación Intraclase (ICC) por el metodo ANOVA.</v>
      </c>
      <c r="D25" s="240"/>
      <c r="E25" s="240"/>
      <c r="F25" s="240"/>
      <c r="G25" s="240"/>
      <c r="H25" s="240"/>
      <c r="I25" s="240"/>
      <c r="J25" s="8"/>
      <c r="K25" s="8"/>
    </row>
    <row r="26" spans="1:11" ht="15" x14ac:dyDescent="0.2">
      <c r="A26" s="6"/>
      <c r="B26" s="14"/>
      <c r="C26" s="12"/>
      <c r="D26" s="12"/>
      <c r="E26" s="12"/>
      <c r="F26" s="12"/>
      <c r="G26" s="12"/>
      <c r="H26" s="12"/>
      <c r="I26" s="12"/>
      <c r="J26" s="8"/>
      <c r="K26" s="8"/>
    </row>
    <row r="27" spans="1:11" ht="15" x14ac:dyDescent="0.2">
      <c r="A27" s="6"/>
      <c r="B27" s="14" t="s">
        <v>44</v>
      </c>
      <c r="C27" s="240" t="str">
        <f>IF(Info!J3,"For additional information on the statistical calculations, refer to Norton &amp; Olds (1996) or other statistics textbooks.","Para información adicional sobre los calculos estadísticos, consulte Norton &amp; Olds (1996) u otros textos de estadística.")</f>
        <v>Para información adicional sobre los calculos estadísticos, consulte Norton &amp; Olds (1996) u otros textos de estadística.</v>
      </c>
      <c r="D27" s="240"/>
      <c r="E27" s="240"/>
      <c r="F27" s="240"/>
      <c r="G27" s="240"/>
      <c r="H27" s="240"/>
      <c r="I27" s="240"/>
      <c r="J27" s="8"/>
      <c r="K27" s="8"/>
    </row>
    <row r="28" spans="1:11" ht="15" x14ac:dyDescent="0.2">
      <c r="A28" s="6"/>
      <c r="B28" s="14"/>
      <c r="C28" s="12"/>
      <c r="D28" s="12"/>
      <c r="E28" s="12"/>
      <c r="F28" s="12"/>
      <c r="G28" s="12"/>
      <c r="H28" s="12"/>
      <c r="I28" s="12"/>
      <c r="J28" s="8"/>
      <c r="K28" s="8"/>
    </row>
    <row r="29" spans="1:11" ht="15" x14ac:dyDescent="0.2">
      <c r="A29" s="6"/>
      <c r="B29" s="14" t="s">
        <v>44</v>
      </c>
      <c r="C29" s="239" t="str">
        <f>IF(Info!J3,"The calculations are based on two (or the closest two of three) measures on twenty (20) subjects.", "Los cálculos se refieren a dos medidas (2), o las dos más cercanas si son tres medidas, sobre veinte (20) sujetos.")</f>
        <v>Los cálculos se refieren a dos medidas (2), o las dos más cercanas si son tres medidas, sobre veinte (20) sujetos.</v>
      </c>
      <c r="D29" s="239"/>
      <c r="E29" s="239"/>
      <c r="F29" s="239"/>
      <c r="G29" s="239"/>
      <c r="H29" s="239"/>
      <c r="I29" s="239"/>
      <c r="J29" s="7"/>
      <c r="K29" s="7"/>
    </row>
    <row r="30" spans="1:11" ht="15" x14ac:dyDescent="0.2">
      <c r="A30" s="6"/>
      <c r="B30" s="14"/>
      <c r="C30" s="13"/>
      <c r="D30" s="13"/>
      <c r="E30" s="13"/>
      <c r="F30" s="13"/>
      <c r="G30" s="13"/>
      <c r="H30" s="13"/>
      <c r="I30" s="13"/>
      <c r="J30" s="7"/>
      <c r="K30" s="7"/>
    </row>
    <row r="31" spans="1:11" ht="15" x14ac:dyDescent="0.2">
      <c r="A31" s="6"/>
      <c r="B31" s="14" t="s">
        <v>44</v>
      </c>
      <c r="C31" s="239" t="str">
        <f>IF(Info!J3, "The intra-tester target %TEMs for obtaining ISAK accreditation are:", "El porcentaje de Error del ETM para el inter- e intra-evaulador para obtener la acreditacion ISAK se muestran en la tabla inferior.")</f>
        <v>El porcentaje de Error del ETM para el inter- e intra-evaulador para obtener la acreditacion ISAK se muestran en la tabla inferior.</v>
      </c>
      <c r="D31" s="239"/>
      <c r="E31" s="239"/>
      <c r="F31" s="239"/>
      <c r="G31" s="239"/>
      <c r="H31" s="239"/>
      <c r="I31" s="239"/>
      <c r="J31" s="7"/>
      <c r="K31" s="7"/>
    </row>
    <row r="32" spans="1:11" ht="15.75" thickBot="1" x14ac:dyDescent="0.25">
      <c r="A32" s="6"/>
      <c r="B32" s="6"/>
      <c r="C32" s="6"/>
      <c r="D32" s="6"/>
      <c r="E32" s="6"/>
      <c r="F32" s="6"/>
      <c r="G32" s="6"/>
      <c r="H32" s="6"/>
      <c r="I32" s="6"/>
      <c r="J32" s="6"/>
      <c r="K32" s="6"/>
    </row>
    <row r="33" spans="1:11" ht="16.5" thickBot="1" x14ac:dyDescent="0.25">
      <c r="A33" s="6"/>
      <c r="B33" s="6"/>
      <c r="C33" s="75"/>
      <c r="D33" s="75"/>
      <c r="E33" s="241" t="str">
        <f>IF(Info!J3=1, "Level 1", "Nivel 1")</f>
        <v>Nivel 1</v>
      </c>
      <c r="F33" s="242"/>
      <c r="G33" s="171"/>
      <c r="H33" s="241" t="str">
        <f>IF(Info!J3=1, "Level 2, 3 and 4","Nivel 2, 3 y 4")</f>
        <v>Nivel 2, 3 y 4</v>
      </c>
      <c r="I33" s="242"/>
      <c r="J33" s="6"/>
      <c r="K33" s="6"/>
    </row>
    <row r="34" spans="1:11" ht="16.5" thickBot="1" x14ac:dyDescent="0.25">
      <c r="A34" s="6"/>
      <c r="B34" s="6"/>
      <c r="C34" s="172"/>
      <c r="D34" s="172"/>
      <c r="E34" s="173" t="str">
        <f>IF(Info!J3=1, "Post-course","Tras el curso")</f>
        <v>Tras el curso</v>
      </c>
      <c r="F34" s="173" t="str">
        <f>IF(Info!J3=1, "Post-profiles","Post-perfiles")</f>
        <v>Post-perfiles</v>
      </c>
      <c r="G34" s="174"/>
      <c r="H34" s="173" t="str">
        <f>IF(Info!J3=1, "Post-course","Tras el curso")</f>
        <v>Tras el curso</v>
      </c>
      <c r="I34" s="173" t="str">
        <f>IF(Info!J3=1, "Post-profiles","Post-perfiles")</f>
        <v>Post-perfiles</v>
      </c>
      <c r="J34" s="6"/>
      <c r="K34" s="6"/>
    </row>
    <row r="35" spans="1:11" ht="15.75" x14ac:dyDescent="0.2">
      <c r="A35" s="6"/>
      <c r="B35" s="6"/>
      <c r="C35" s="231" t="s">
        <v>28</v>
      </c>
      <c r="D35" s="175" t="str">
        <f>IF(Info!J3=1, "Skinfolds","Pliegues")</f>
        <v>Pliegues</v>
      </c>
      <c r="E35" s="176">
        <v>12.5</v>
      </c>
      <c r="F35" s="176">
        <v>10</v>
      </c>
      <c r="G35" s="177"/>
      <c r="H35" s="176">
        <v>10</v>
      </c>
      <c r="I35" s="176">
        <v>7.5</v>
      </c>
      <c r="J35" s="6"/>
      <c r="K35" s="6"/>
    </row>
    <row r="36" spans="1:11" ht="16.5" thickBot="1" x14ac:dyDescent="0.25">
      <c r="A36" s="6"/>
      <c r="B36" s="6"/>
      <c r="C36" s="232"/>
      <c r="D36" s="178" t="str">
        <f>IF(Info!J3=1, "Other measurs","Otras medidas")</f>
        <v>Otras medidas</v>
      </c>
      <c r="E36" s="179">
        <v>2.5</v>
      </c>
      <c r="F36" s="179">
        <v>2</v>
      </c>
      <c r="G36" s="177"/>
      <c r="H36" s="179">
        <v>2</v>
      </c>
      <c r="I36" s="179">
        <v>1.5</v>
      </c>
      <c r="J36" s="6"/>
      <c r="K36" s="6"/>
    </row>
    <row r="37" spans="1:11" ht="15.75" x14ac:dyDescent="0.2">
      <c r="A37" s="6"/>
      <c r="B37" s="6"/>
      <c r="C37" s="231" t="s">
        <v>22</v>
      </c>
      <c r="D37" s="175" t="str">
        <f>IF(Info!J3=1, "Skinfolds","Pliegues")</f>
        <v>Pliegues</v>
      </c>
      <c r="E37" s="176">
        <v>10</v>
      </c>
      <c r="F37" s="176">
        <v>7.5</v>
      </c>
      <c r="G37" s="177"/>
      <c r="H37" s="176">
        <v>7.5</v>
      </c>
      <c r="I37" s="176">
        <v>5</v>
      </c>
      <c r="J37" s="6"/>
      <c r="K37" s="6"/>
    </row>
    <row r="38" spans="1:11" ht="16.5" thickBot="1" x14ac:dyDescent="0.25">
      <c r="A38" s="6"/>
      <c r="B38" s="6"/>
      <c r="C38" s="232"/>
      <c r="D38" s="180" t="str">
        <f>IF(Info!J3=1, "Other measurs","Otras medidas")</f>
        <v>Otras medidas</v>
      </c>
      <c r="E38" s="181">
        <v>2</v>
      </c>
      <c r="F38" s="181">
        <v>1.5</v>
      </c>
      <c r="G38" s="177"/>
      <c r="H38" s="181">
        <v>1.5</v>
      </c>
      <c r="I38" s="181">
        <v>1</v>
      </c>
      <c r="J38" s="6"/>
      <c r="K38" s="6"/>
    </row>
    <row r="39" spans="1:11" ht="15.75" thickBot="1" x14ac:dyDescent="0.25">
      <c r="A39" s="6"/>
      <c r="B39" s="6"/>
      <c r="C39" s="75"/>
      <c r="D39" s="75"/>
      <c r="E39" s="75"/>
      <c r="F39" s="75"/>
      <c r="G39" s="75"/>
      <c r="H39" s="75"/>
      <c r="I39" s="75"/>
      <c r="J39" s="6"/>
      <c r="K39" s="6"/>
    </row>
    <row r="40" spans="1:11" ht="16.5" thickBot="1" x14ac:dyDescent="0.25">
      <c r="A40" s="6"/>
      <c r="B40" s="6"/>
      <c r="C40" s="75"/>
      <c r="D40" s="75"/>
      <c r="E40" s="182" t="str">
        <f>IF(Info!J3=1, "Number of subjects:","Numero de sujetos:")</f>
        <v>Numero de sujetos:</v>
      </c>
      <c r="F40" s="183">
        <v>20</v>
      </c>
      <c r="G40" s="75"/>
      <c r="H40" s="75"/>
      <c r="I40" s="75"/>
      <c r="J40" s="6"/>
      <c r="K40" s="6"/>
    </row>
    <row r="41" spans="1:11" ht="16.5" thickBot="1" x14ac:dyDescent="0.25">
      <c r="A41" s="6"/>
      <c r="B41" s="6"/>
      <c r="C41" s="75"/>
      <c r="D41" s="75"/>
      <c r="E41" s="182" t="str">
        <f>IF(Info!J3=1, "Measuments per subject:","Medida por sujeto:")</f>
        <v>Medida por sujeto:</v>
      </c>
      <c r="F41" s="183">
        <v>2</v>
      </c>
      <c r="G41" s="75"/>
      <c r="H41" s="75"/>
      <c r="I41" s="75"/>
      <c r="J41" s="6"/>
      <c r="K41" s="6"/>
    </row>
    <row r="42" spans="1:11" ht="15" x14ac:dyDescent="0.2">
      <c r="A42" s="6"/>
      <c r="B42" s="6"/>
      <c r="C42" s="6"/>
      <c r="D42" s="6"/>
      <c r="E42" s="6"/>
      <c r="F42" s="6"/>
      <c r="G42" s="6"/>
      <c r="H42" s="6"/>
      <c r="I42" s="6"/>
      <c r="J42" s="6"/>
      <c r="K42" s="6"/>
    </row>
    <row r="43" spans="1:11" ht="15" x14ac:dyDescent="0.2">
      <c r="A43" s="6"/>
      <c r="B43" s="6"/>
      <c r="C43" s="6"/>
      <c r="D43" s="6"/>
      <c r="E43" s="6"/>
      <c r="F43" s="6"/>
      <c r="G43" s="6"/>
      <c r="H43" s="6"/>
      <c r="I43" s="6"/>
      <c r="J43" s="6"/>
      <c r="K43" s="6"/>
    </row>
    <row r="44" spans="1:11" ht="15.75" x14ac:dyDescent="0.2">
      <c r="A44" s="6"/>
      <c r="B44" s="6"/>
      <c r="C44" s="230" t="s">
        <v>49</v>
      </c>
      <c r="D44" s="230"/>
      <c r="E44" s="6"/>
      <c r="F44" s="6"/>
      <c r="G44" s="6"/>
      <c r="H44" s="6"/>
      <c r="I44" s="6"/>
      <c r="J44" s="6"/>
      <c r="K44" s="6"/>
    </row>
    <row r="45" spans="1:11" ht="15" x14ac:dyDescent="0.2">
      <c r="A45" s="6"/>
      <c r="B45" s="6"/>
      <c r="C45" s="6"/>
      <c r="D45" s="6"/>
      <c r="E45" s="6"/>
      <c r="F45" s="6"/>
      <c r="G45" s="6"/>
      <c r="H45" s="6"/>
      <c r="I45" s="6"/>
      <c r="J45" s="6"/>
      <c r="K45" s="6"/>
    </row>
    <row r="46" spans="1:11" ht="15" x14ac:dyDescent="0.2">
      <c r="A46" s="6"/>
      <c r="B46" s="6"/>
      <c r="C46" s="6"/>
      <c r="D46" s="6"/>
      <c r="E46" s="6"/>
      <c r="F46" s="6"/>
      <c r="G46" s="6"/>
      <c r="H46" s="6"/>
      <c r="I46" s="6"/>
      <c r="J46" s="6"/>
      <c r="K46" s="6"/>
    </row>
    <row r="47" spans="1:11" ht="15" x14ac:dyDescent="0.2">
      <c r="A47" s="6"/>
      <c r="B47" s="6"/>
      <c r="C47" s="6"/>
      <c r="D47" s="6"/>
      <c r="E47" s="6"/>
      <c r="F47" s="6"/>
      <c r="G47" s="6"/>
      <c r="H47" s="6"/>
      <c r="I47" s="6"/>
      <c r="J47" s="6"/>
      <c r="K47" s="6"/>
    </row>
    <row r="48" spans="1:11" ht="15" x14ac:dyDescent="0.2">
      <c r="A48" s="6"/>
      <c r="B48" s="6"/>
      <c r="C48" s="6"/>
      <c r="D48" s="6"/>
      <c r="E48" s="6"/>
      <c r="F48" s="6"/>
      <c r="G48" s="6"/>
      <c r="H48" s="6"/>
      <c r="I48" s="6"/>
      <c r="J48" s="6"/>
      <c r="K48" s="6"/>
    </row>
  </sheetData>
  <sheetProtection algorithmName="SHA-512" hashValue="37rN2qqNInTmbusUwNXS6x2/mLbfeRqEikhbzSeudFpD5/wEb28U4zYUBRL8mBE7RmYf19ToQyGO9JBIavTg6Q==" saltValue="ream+3rJgqPKL2fK5HdEnA==" spinCount="100000" sheet="1" objects="1" scenarios="1" selectLockedCells="1"/>
  <mergeCells count="23">
    <mergeCell ref="C7:I7"/>
    <mergeCell ref="C9:F9"/>
    <mergeCell ref="E33:F33"/>
    <mergeCell ref="H33:I33"/>
    <mergeCell ref="C15:F15"/>
    <mergeCell ref="C13:F13"/>
    <mergeCell ref="C11:F11"/>
    <mergeCell ref="C44:D44"/>
    <mergeCell ref="C37:C38"/>
    <mergeCell ref="C35:C36"/>
    <mergeCell ref="B1:I1"/>
    <mergeCell ref="H5:I5"/>
    <mergeCell ref="H3:I3"/>
    <mergeCell ref="B5:F5"/>
    <mergeCell ref="B3:F3"/>
    <mergeCell ref="C31:I31"/>
    <mergeCell ref="C29:I29"/>
    <mergeCell ref="C27:I27"/>
    <mergeCell ref="C25:I25"/>
    <mergeCell ref="B23:I23"/>
    <mergeCell ref="C21:I21"/>
    <mergeCell ref="C19:I19"/>
    <mergeCell ref="C17:I17"/>
  </mergeCells>
  <phoneticPr fontId="4" type="noConversion"/>
  <dataValidations count="1">
    <dataValidation type="list" allowBlank="1" showInputMessage="1" showErrorMessage="1" sqref="H3" xr:uid="{1414172C-E71F-2E4C-AC1C-A2BDCC5AB9C5}">
      <formula1>"Español / Spanish, English / Inglés"</formula1>
    </dataValidation>
  </dataValidations>
  <pageMargins left="0" right="0" top="1" bottom="1" header="0.49212598499999999" footer="0.49212598499999999"/>
  <pageSetup paperSize="9" scale="80" orientation="portrait" horizontalDpi="300" verticalDpi="300"/>
  <headerFooter alignWithMargins="0">
    <oddFooter>&amp;F</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C3A2C-9A71-D145-BF55-29BE33A57CD9}">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iTUkPHEACaEKduzCUDdPo0RQvwVpCr1Mbub9HNCoYEIPj8qn1jCQhSMq+Bi1TwGvNEEosoMHQvoaQKDOLEIhVg==" saltValue="ApNUwYxK6stko3MVoCAClQ==" spinCount="100000" sheet="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61" priority="1">
      <formula>LEN(TRIM(D3))=0</formula>
    </cfRule>
  </conditionalFormatting>
  <conditionalFormatting sqref="D14:F34">
    <cfRule type="containsBlanks" dxfId="60" priority="5">
      <formula>LEN(TRIM(D14))=0</formula>
    </cfRule>
  </conditionalFormatting>
  <conditionalFormatting sqref="F14:F34">
    <cfRule type="expression" dxfId="59" priority="4">
      <formula>I14="No"</formula>
    </cfRule>
  </conditionalFormatting>
  <conditionalFormatting sqref="I14:I34">
    <cfRule type="expression" dxfId="58" priority="2">
      <formula>F14&lt;&gt;""</formula>
    </cfRule>
    <cfRule type="containsText" dxfId="57" priority="3" operator="containsText" text="Yes">
      <formula>NOT(ISERROR(SEARCH("Yes",I14)))</formula>
    </cfRule>
  </conditionalFormatting>
  <dataValidations count="2">
    <dataValidation type="list" allowBlank="1" showInputMessage="1" showErrorMessage="1" sqref="D7:F7" xr:uid="{22DDEDCD-5B7B-B744-A70A-558976E7FFA0}">
      <formula1>"1, 2"</formula1>
    </dataValidation>
    <dataValidation type="list" allowBlank="1" showInputMessage="1" showErrorMessage="1" sqref="D6:F6" xr:uid="{F85F35A0-44CB-9344-8E78-5D6EAB1D8508}">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5CF52-DDEE-914B-9976-CC6A9AFDBE55}">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05AU8ROuJKIW4vyqyagvQ0Wnv0XOwW9ZOTjZBWwxAhn8xdGVutiUycMdQc3/RO4UQxr4E/Rnrb6vakOqbN9Dyw==" saltValue="L20Z0pysC9nK8+0HkcT2bg=="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56" priority="1">
      <formula>LEN(TRIM(D3))=0</formula>
    </cfRule>
  </conditionalFormatting>
  <conditionalFormatting sqref="D14:F34">
    <cfRule type="containsBlanks" dxfId="55" priority="5">
      <formula>LEN(TRIM(D14))=0</formula>
    </cfRule>
  </conditionalFormatting>
  <conditionalFormatting sqref="F14:F34">
    <cfRule type="expression" dxfId="54" priority="4">
      <formula>I14="No"</formula>
    </cfRule>
  </conditionalFormatting>
  <conditionalFormatting sqref="I14:I34">
    <cfRule type="expression" dxfId="53" priority="2">
      <formula>F14&lt;&gt;""</formula>
    </cfRule>
    <cfRule type="containsText" dxfId="52" priority="3" operator="containsText" text="Yes">
      <formula>NOT(ISERROR(SEARCH("Yes",I14)))</formula>
    </cfRule>
  </conditionalFormatting>
  <dataValidations count="2">
    <dataValidation type="list" allowBlank="1" showInputMessage="1" showErrorMessage="1" sqref="D7:F7" xr:uid="{F280C3A9-5CE2-D642-8157-3F76AC3808D5}">
      <formula1>"1, 2"</formula1>
    </dataValidation>
    <dataValidation type="list" allowBlank="1" showInputMessage="1" showErrorMessage="1" sqref="D6:F6" xr:uid="{AE16C0C5-A3A0-4948-862C-C49B5DD91588}">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DD155F-6946-B747-AEEC-7F31699C76A4}">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UEckwkxRpoRMttZ08eqDTBlEkJvez8VRismy+WOJklcnpEDI8rm20q4n4DyErV/TtxUT+b2K3zhhZ0oKSQPX5w==" saltValue="jkXo4RskEtqZIHhasFqn8g=="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51" priority="1">
      <formula>LEN(TRIM(D3))=0</formula>
    </cfRule>
  </conditionalFormatting>
  <conditionalFormatting sqref="D14:F34">
    <cfRule type="containsBlanks" dxfId="50" priority="5">
      <formula>LEN(TRIM(D14))=0</formula>
    </cfRule>
  </conditionalFormatting>
  <conditionalFormatting sqref="F14:F34">
    <cfRule type="expression" dxfId="49" priority="4">
      <formula>I14="No"</formula>
    </cfRule>
  </conditionalFormatting>
  <conditionalFormatting sqref="I14:I34">
    <cfRule type="expression" dxfId="48" priority="2">
      <formula>F14&lt;&gt;""</formula>
    </cfRule>
    <cfRule type="containsText" dxfId="47" priority="3" operator="containsText" text="Yes">
      <formula>NOT(ISERROR(SEARCH("Yes",I14)))</formula>
    </cfRule>
  </conditionalFormatting>
  <dataValidations count="2">
    <dataValidation type="list" allowBlank="1" showInputMessage="1" showErrorMessage="1" sqref="D7:F7" xr:uid="{248934AD-FE50-AD43-9F1D-C647FA60A5D6}">
      <formula1>"1, 2"</formula1>
    </dataValidation>
    <dataValidation type="list" allowBlank="1" showInputMessage="1" showErrorMessage="1" sqref="D6:F6" xr:uid="{F6F79978-DDB4-1C48-B953-1EC4D821B87D}">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9F6BF-085B-E84E-9366-6C4CDA357871}">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Uy95Jui/f8dqCe2Lr21yjar/oBiMQXHDwLKNGP8433ctqWFQ4OlQwtOy/PlRIsaFZsgbxwA7k8dxlAi3T9A8hg==" saltValue="RWuRM2dyBP31+tUdfs296w==" spinCount="100000" sheet="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46" priority="1">
      <formula>LEN(TRIM(D3))=0</formula>
    </cfRule>
  </conditionalFormatting>
  <conditionalFormatting sqref="D14:F34">
    <cfRule type="containsBlanks" dxfId="45" priority="5">
      <formula>LEN(TRIM(D14))=0</formula>
    </cfRule>
  </conditionalFormatting>
  <conditionalFormatting sqref="F14:F34">
    <cfRule type="expression" dxfId="44" priority="4">
      <formula>I14="No"</formula>
    </cfRule>
  </conditionalFormatting>
  <conditionalFormatting sqref="I14:I34">
    <cfRule type="expression" dxfId="43" priority="2">
      <formula>F14&lt;&gt;""</formula>
    </cfRule>
    <cfRule type="containsText" dxfId="42" priority="3" operator="containsText" text="Yes">
      <formula>NOT(ISERROR(SEARCH("Yes",I14)))</formula>
    </cfRule>
  </conditionalFormatting>
  <dataValidations count="2">
    <dataValidation type="list" allowBlank="1" showInputMessage="1" showErrorMessage="1" sqref="D7:F7" xr:uid="{1B5DC8CE-854E-344C-90F5-AB50F9740EDB}">
      <formula1>"1, 2"</formula1>
    </dataValidation>
    <dataValidation type="list" allowBlank="1" showInputMessage="1" showErrorMessage="1" sqref="D6:F6" xr:uid="{BEBACB87-1EDC-9E48-80BB-D451B5F96461}">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E4785-0D96-FF4C-945D-5A220D561A12}">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Zb7eiMAYclYx/MNwaItoZ4QfSaCilLiNwp7h9aylQ12j+mIsvpbfbiPv0o8Fua9jfnpAMQThW3RVOdaRahpeAA==" saltValue="Lu03igiqtSfOL5OFg2qUug=="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41" priority="1">
      <formula>LEN(TRIM(D3))=0</formula>
    </cfRule>
  </conditionalFormatting>
  <conditionalFormatting sqref="D14:F34">
    <cfRule type="containsBlanks" dxfId="40" priority="5">
      <formula>LEN(TRIM(D14))=0</formula>
    </cfRule>
  </conditionalFormatting>
  <conditionalFormatting sqref="F14:F34">
    <cfRule type="expression" dxfId="39" priority="4">
      <formula>I14="No"</formula>
    </cfRule>
  </conditionalFormatting>
  <conditionalFormatting sqref="I14:I34">
    <cfRule type="expression" dxfId="38" priority="2">
      <formula>F14&lt;&gt;""</formula>
    </cfRule>
    <cfRule type="containsText" dxfId="37" priority="3" operator="containsText" text="Yes">
      <formula>NOT(ISERROR(SEARCH("Yes",I14)))</formula>
    </cfRule>
  </conditionalFormatting>
  <dataValidations count="2">
    <dataValidation type="list" allowBlank="1" showInputMessage="1" showErrorMessage="1" sqref="D7:F7" xr:uid="{810E4BCC-A509-1E48-ADCF-A756D015FE5B}">
      <formula1>"1, 2"</formula1>
    </dataValidation>
    <dataValidation type="list" allowBlank="1" showInputMessage="1" showErrorMessage="1" sqref="D6:F6" xr:uid="{96887702-5E43-594C-AB39-CB61E63BA6EF}">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4A701-3A1C-B24D-936E-769D13896C20}">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NYN71oXuPTYjCHjQ27e/2XgQHd/lGUb+K6QpvMNiAttFKlG2Nf8t++ff8/0IV+xXRl9dL8frmUWPlTmB16yiDg==" saltValue="5Uc+ersARlrKbsUEK6SwdA=="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36" priority="1">
      <formula>LEN(TRIM(D3))=0</formula>
    </cfRule>
  </conditionalFormatting>
  <conditionalFormatting sqref="D14:F34">
    <cfRule type="containsBlanks" dxfId="35" priority="5">
      <formula>LEN(TRIM(D14))=0</formula>
    </cfRule>
  </conditionalFormatting>
  <conditionalFormatting sqref="F14:F34">
    <cfRule type="expression" dxfId="34" priority="4">
      <formula>I14="No"</formula>
    </cfRule>
  </conditionalFormatting>
  <conditionalFormatting sqref="I14:I34">
    <cfRule type="expression" dxfId="33" priority="2">
      <formula>F14&lt;&gt;""</formula>
    </cfRule>
    <cfRule type="containsText" dxfId="32" priority="3" operator="containsText" text="Yes">
      <formula>NOT(ISERROR(SEARCH("Yes",I14)))</formula>
    </cfRule>
  </conditionalFormatting>
  <dataValidations count="2">
    <dataValidation type="list" allowBlank="1" showInputMessage="1" showErrorMessage="1" sqref="D7:F7" xr:uid="{EF20BE65-900D-3549-9430-2FF4705CC5F8}">
      <formula1>"1, 2"</formula1>
    </dataValidation>
    <dataValidation type="list" allowBlank="1" showInputMessage="1" showErrorMessage="1" sqref="D6:F6" xr:uid="{ACA3B5F9-EBF1-FF4C-9375-CBF8062B5F08}">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B94508-15E8-3643-A6F1-2839180D1CF9}">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tm2F9zab2yD/ngTAvxkMsCFwGq11DB+7hgNBFtairmwqVjOHZXQYA2toANepYfbdaMK7meI+gaojm1VRRDaPWQ==" saltValue="maCZhnf+Apm3Ks0BYgSyZA=="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31" priority="1">
      <formula>LEN(TRIM(D3))=0</formula>
    </cfRule>
  </conditionalFormatting>
  <conditionalFormatting sqref="D14:F34">
    <cfRule type="containsBlanks" dxfId="30" priority="5">
      <formula>LEN(TRIM(D14))=0</formula>
    </cfRule>
  </conditionalFormatting>
  <conditionalFormatting sqref="F14:F34">
    <cfRule type="expression" dxfId="29" priority="4">
      <formula>I14="No"</formula>
    </cfRule>
  </conditionalFormatting>
  <conditionalFormatting sqref="I14:I34">
    <cfRule type="expression" dxfId="28" priority="2">
      <formula>F14&lt;&gt;""</formula>
    </cfRule>
    <cfRule type="containsText" dxfId="27" priority="3" operator="containsText" text="Yes">
      <formula>NOT(ISERROR(SEARCH("Yes",I14)))</formula>
    </cfRule>
  </conditionalFormatting>
  <dataValidations count="2">
    <dataValidation type="list" allowBlank="1" showInputMessage="1" showErrorMessage="1" sqref="D7:F7" xr:uid="{512A520C-DA41-0F45-B5BB-AA4A9225A16E}">
      <formula1>"1, 2"</formula1>
    </dataValidation>
    <dataValidation type="list" allowBlank="1" showInputMessage="1" showErrorMessage="1" sqref="D6:F6" xr:uid="{F2BF053A-0118-E746-B732-80997F5B95DD}">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BA916-C1C9-094B-B416-4D980264FCCE}">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ReeSrZRyEQkAXfxSf3hi/lhkQrf6IhH14QodfbLSscYO+uSW1eSm+f6jyopAA9UB62wBd1MrPW5LILUJVmStbw==" saltValue="lyx7XGKf6mamr1IEobgobw=="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26" priority="1">
      <formula>LEN(TRIM(D3))=0</formula>
    </cfRule>
  </conditionalFormatting>
  <conditionalFormatting sqref="D14:F34">
    <cfRule type="containsBlanks" dxfId="25" priority="5">
      <formula>LEN(TRIM(D14))=0</formula>
    </cfRule>
  </conditionalFormatting>
  <conditionalFormatting sqref="F14:F34">
    <cfRule type="expression" dxfId="24" priority="4">
      <formula>I14="No"</formula>
    </cfRule>
  </conditionalFormatting>
  <conditionalFormatting sqref="I14:I34">
    <cfRule type="expression" dxfId="23" priority="2">
      <formula>F14&lt;&gt;""</formula>
    </cfRule>
    <cfRule type="containsText" dxfId="22" priority="3" operator="containsText" text="Yes">
      <formula>NOT(ISERROR(SEARCH("Yes",I14)))</formula>
    </cfRule>
  </conditionalFormatting>
  <dataValidations count="2">
    <dataValidation type="list" allowBlank="1" showInputMessage="1" showErrorMessage="1" sqref="D7:F7" xr:uid="{50B56540-EDEF-E14D-BC56-6F250CDD9075}">
      <formula1>"1, 2"</formula1>
    </dataValidation>
    <dataValidation type="list" allowBlank="1" showInputMessage="1" showErrorMessage="1" sqref="D6:F6" xr:uid="{45A1492A-9AD8-D442-835B-C5F3E6A8E6D5}">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94FFD0-661F-EE4B-92AF-0CF0C55C3CE4}">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gn17Ql4cNKW9IPwY8GsbRe9f21/dwFjM3eQsZJHNXC3ANf6bIZpHBZ1Qy72vbw1bL9U99MYqyIMqw3hwTFPucA==" saltValue="/B+J67IP3qcQEkciV5LiOQ=="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21" priority="1">
      <formula>LEN(TRIM(D3))=0</formula>
    </cfRule>
  </conditionalFormatting>
  <conditionalFormatting sqref="D14:F34">
    <cfRule type="containsBlanks" dxfId="20" priority="5">
      <formula>LEN(TRIM(D14))=0</formula>
    </cfRule>
  </conditionalFormatting>
  <conditionalFormatting sqref="F14:F34">
    <cfRule type="expression" dxfId="19" priority="4">
      <formula>I14="No"</formula>
    </cfRule>
  </conditionalFormatting>
  <conditionalFormatting sqref="I14:I34">
    <cfRule type="expression" dxfId="18" priority="2">
      <formula>F14&lt;&gt;""</formula>
    </cfRule>
    <cfRule type="containsText" dxfId="17" priority="3" operator="containsText" text="Yes">
      <formula>NOT(ISERROR(SEARCH("Yes",I14)))</formula>
    </cfRule>
  </conditionalFormatting>
  <dataValidations count="2">
    <dataValidation type="list" allowBlank="1" showInputMessage="1" showErrorMessage="1" sqref="D7:F7" xr:uid="{304A38D2-7697-C54A-BD59-AA3D6A56CDEB}">
      <formula1>"1, 2"</formula1>
    </dataValidation>
    <dataValidation type="list" allowBlank="1" showInputMessage="1" showErrorMessage="1" sqref="D6:F6" xr:uid="{2B7A3F6E-76C0-1B49-8D78-CCE5501A80B0}">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00732-A374-E341-BE2C-3689B3851AB2}">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2m9BUJLdJpj6PPUwWchb74k/Drro//f4EYOMsApPwvXus2HpfOpOH9u6TJPGFv7b0jqhNlIzwqFASBW0EtLCQ==" saltValue="wkVq3d4vbgCCkup0EUIo7w==" spinCount="100000" sheet="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16" priority="1">
      <formula>LEN(TRIM(D3))=0</formula>
    </cfRule>
  </conditionalFormatting>
  <conditionalFormatting sqref="D14:F34">
    <cfRule type="containsBlanks" dxfId="15" priority="5">
      <formula>LEN(TRIM(D14))=0</formula>
    </cfRule>
  </conditionalFormatting>
  <conditionalFormatting sqref="F14:F34">
    <cfRule type="expression" dxfId="14" priority="4">
      <formula>I14="No"</formula>
    </cfRule>
  </conditionalFormatting>
  <conditionalFormatting sqref="I14:I34">
    <cfRule type="expression" dxfId="13" priority="2">
      <formula>F14&lt;&gt;""</formula>
    </cfRule>
    <cfRule type="containsText" dxfId="12" priority="3" operator="containsText" text="Yes">
      <formula>NOT(ISERROR(SEARCH("Yes",I14)))</formula>
    </cfRule>
  </conditionalFormatting>
  <dataValidations count="2">
    <dataValidation type="list" allowBlank="1" showInputMessage="1" showErrorMessage="1" sqref="D7:F7" xr:uid="{33D12BF2-EBB6-F841-A3EA-63A64369F985}">
      <formula1>"1, 2"</formula1>
    </dataValidation>
    <dataValidation type="list" allowBlank="1" showInputMessage="1" showErrorMessage="1" sqref="D6:F6" xr:uid="{CC5CF8B9-4C7C-F341-A415-09F96E234E3F}">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B1:U82"/>
  <sheetViews>
    <sheetView showGridLines="0" tabSelected="1" zoomScale="90" zoomScaleNormal="90" zoomScaleSheetLayoutView="75" workbookViewId="0">
      <selection activeCell="F34" sqref="F34"/>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IF(Info!J3, "ISAK RESTRICTED PROFORMA","PROFORMA PERFIL RESTRINGIDO ISAK")</f>
        <v>PROFORMA PERFIL RESTRINGIDO ISAK</v>
      </c>
      <c r="D1" s="256"/>
      <c r="E1" s="256"/>
      <c r="F1" s="256"/>
      <c r="G1" s="256"/>
      <c r="H1" s="256"/>
      <c r="I1" s="256"/>
      <c r="J1" s="256"/>
      <c r="K1" s="256"/>
      <c r="M1" s="257" t="str">
        <f>IF(Info!J3, "ISAK PROFORMA PRINTOUT", "INFORME PROFORMA ISAK")</f>
        <v>INFORME PROFORMA ISAK</v>
      </c>
      <c r="N1" s="258"/>
      <c r="O1" s="258"/>
      <c r="P1" s="258"/>
      <c r="Q1" s="258"/>
      <c r="R1" s="258"/>
      <c r="S1" s="259"/>
      <c r="T1" s="76"/>
      <c r="U1" s="76"/>
    </row>
    <row r="2" spans="2:21" ht="18" customHeight="1" thickBot="1" x14ac:dyDescent="0.25">
      <c r="M2" s="77"/>
      <c r="S2" s="78"/>
    </row>
    <row r="3" spans="2:21" ht="18" customHeight="1" x14ac:dyDescent="0.2">
      <c r="C3" s="47" t="str">
        <f>IF(Info!J3, "Name", "Nombre")</f>
        <v>Nombre</v>
      </c>
      <c r="D3" s="263" t="s">
        <v>65</v>
      </c>
      <c r="E3" s="264"/>
      <c r="F3" s="265"/>
      <c r="M3" s="77"/>
      <c r="N3" s="47" t="str">
        <f t="shared" ref="N3:N10" si="0">C3</f>
        <v>Nombre</v>
      </c>
      <c r="O3" s="269" t="str">
        <f>IF(D3="", "", D3)</f>
        <v>Nataly Verónica</v>
      </c>
      <c r="P3" s="270"/>
      <c r="Q3" s="271"/>
      <c r="S3" s="78"/>
    </row>
    <row r="4" spans="2:21" ht="18" customHeight="1" thickBot="1" x14ac:dyDescent="0.25">
      <c r="C4" s="49" t="str">
        <f>IF(Info!J3, "Surname", "Apellidos")</f>
        <v>Apellidos</v>
      </c>
      <c r="D4" s="260" t="s">
        <v>66</v>
      </c>
      <c r="E4" s="261"/>
      <c r="F4" s="262"/>
      <c r="M4" s="77"/>
      <c r="N4" s="49" t="str">
        <f t="shared" si="0"/>
        <v>Apellidos</v>
      </c>
      <c r="O4" s="266" t="str">
        <f t="shared" ref="O4:O10" si="1">IF(D4="", "", D4)</f>
        <v>Tobay Luna</v>
      </c>
      <c r="P4" s="267"/>
      <c r="Q4" s="268"/>
      <c r="S4" s="78"/>
    </row>
    <row r="5" spans="2:21" ht="18" customHeight="1" thickBot="1" x14ac:dyDescent="0.25">
      <c r="C5" s="70" t="str">
        <f>IF(Info!J3, "Country", "País")</f>
        <v>País</v>
      </c>
      <c r="D5" s="249" t="s">
        <v>63</v>
      </c>
      <c r="E5" s="250"/>
      <c r="F5" s="251"/>
      <c r="M5" s="77"/>
      <c r="N5" s="70" t="str">
        <f t="shared" si="0"/>
        <v>País</v>
      </c>
      <c r="O5" s="281" t="str">
        <f t="shared" si="1"/>
        <v>Ecuador</v>
      </c>
      <c r="P5" s="282"/>
      <c r="Q5" s="283"/>
      <c r="S5" s="78"/>
    </row>
    <row r="6" spans="2:21" ht="18" customHeight="1" x14ac:dyDescent="0.2">
      <c r="C6" s="47" t="str">
        <f>IF(Info!J3, "Ethnicity (Asian=1; African-American=2; Caucasian=3)", "Raza (asiático=1; afro-americano=2; caucásico=3)")</f>
        <v>Raza (asiático=1; afro-americano=2; caucásico=3)</v>
      </c>
      <c r="D6" s="263">
        <v>3</v>
      </c>
      <c r="E6" s="264"/>
      <c r="F6" s="265"/>
      <c r="M6" s="77"/>
      <c r="N6" s="47" t="str">
        <f t="shared" si="0"/>
        <v>Raza (asiático=1; afro-americano=2; caucásico=3)</v>
      </c>
      <c r="O6" s="278">
        <f t="shared" si="1"/>
        <v>3</v>
      </c>
      <c r="P6" s="279"/>
      <c r="Q6" s="280"/>
      <c r="S6" s="78"/>
    </row>
    <row r="7" spans="2:21" ht="18" customHeight="1" thickBot="1" x14ac:dyDescent="0.25">
      <c r="C7" s="49" t="str">
        <f>IF(Info!J3, "Sex (male=1, female=2)", "Sexo (hombre=1, mujer=2)")</f>
        <v>Sexo (hombre=1, mujer=2)</v>
      </c>
      <c r="D7" s="260">
        <v>2</v>
      </c>
      <c r="E7" s="261"/>
      <c r="F7" s="262"/>
      <c r="M7" s="77"/>
      <c r="N7" s="49" t="str">
        <f t="shared" si="0"/>
        <v>Sexo (hombre=1, mujer=2)</v>
      </c>
      <c r="O7" s="266">
        <f t="shared" si="1"/>
        <v>2</v>
      </c>
      <c r="P7" s="267"/>
      <c r="Q7" s="268"/>
      <c r="S7" s="78"/>
    </row>
    <row r="8" spans="2:21" ht="18" customHeight="1" thickBot="1" x14ac:dyDescent="0.25">
      <c r="C8" s="70" t="str">
        <f>IF(Info!J3, "Sport", "Deporte")</f>
        <v>Deporte</v>
      </c>
      <c r="D8" s="249" t="s">
        <v>67</v>
      </c>
      <c r="E8" s="250"/>
      <c r="F8" s="251"/>
      <c r="M8" s="77"/>
      <c r="N8" s="70" t="str">
        <f t="shared" si="0"/>
        <v>Deporte</v>
      </c>
      <c r="O8" s="281" t="str">
        <f t="shared" si="1"/>
        <v>Gimnasio</v>
      </c>
      <c r="P8" s="282"/>
      <c r="Q8" s="283"/>
      <c r="S8" s="78"/>
    </row>
    <row r="9" spans="2:21" ht="18" customHeight="1" x14ac:dyDescent="0.2">
      <c r="C9" s="47" t="str">
        <f>IF(Info!J3, "Date of Measurement", "Fecha de la Valoración")</f>
        <v>Fecha de la Valoración</v>
      </c>
      <c r="D9" s="246">
        <v>45669</v>
      </c>
      <c r="E9" s="247"/>
      <c r="F9" s="248"/>
      <c r="M9" s="77"/>
      <c r="N9" s="47" t="str">
        <f t="shared" si="0"/>
        <v>Fecha de la Valoración</v>
      </c>
      <c r="O9" s="290">
        <f t="shared" si="1"/>
        <v>45669</v>
      </c>
      <c r="P9" s="291"/>
      <c r="Q9" s="292"/>
      <c r="S9" s="78"/>
    </row>
    <row r="10" spans="2:21" ht="18" customHeight="1" thickBot="1" x14ac:dyDescent="0.25">
      <c r="C10" s="49" t="str">
        <f>IF(Info!J3, "Date of Birth", "Fecha de Nacimiento")</f>
        <v>Fecha de Nacimiento</v>
      </c>
      <c r="D10" s="243">
        <v>31697</v>
      </c>
      <c r="E10" s="244"/>
      <c r="F10" s="245"/>
      <c r="K10" s="15"/>
      <c r="M10" s="77"/>
      <c r="N10" s="49" t="str">
        <f t="shared" si="0"/>
        <v>Fecha de Nacimiento</v>
      </c>
      <c r="O10" s="287">
        <f t="shared" si="1"/>
        <v>31697</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IF(Info!J3, "Mean or Median", "Media o Mediana")</f>
        <v>Media o Mediana</v>
      </c>
      <c r="M12" s="77"/>
      <c r="Q12" s="252" t="str">
        <f>IF(Info!J3, "Phantom Z-Value", "Valor Z del Phantom")</f>
        <v>Valor Z del Phantom</v>
      </c>
      <c r="R12" s="253"/>
      <c r="S12" s="78"/>
    </row>
    <row r="13" spans="2:21" ht="18" customHeight="1" thickBot="1" x14ac:dyDescent="0.25">
      <c r="C13" s="72" t="str">
        <f>IF(Info!J3, "Measure", "Medida")</f>
        <v>Medida</v>
      </c>
      <c r="D13" s="118">
        <v>1</v>
      </c>
      <c r="E13" s="74">
        <v>2</v>
      </c>
      <c r="F13" s="119">
        <v>3</v>
      </c>
      <c r="H13" s="252" t="str">
        <f>IF(Info!J3, "3rd measure?", "¿3ª medida?")</f>
        <v>¿3ª medida?</v>
      </c>
      <c r="I13" s="253"/>
      <c r="K13" s="255"/>
      <c r="M13" s="77"/>
      <c r="N13" s="72" t="str">
        <f>IF(Info!J3, "Measure", "Medida")</f>
        <v>Medida</v>
      </c>
      <c r="O13" s="118" t="str">
        <f>IF(Info!J3, "Data", "Dato")</f>
        <v>Dato</v>
      </c>
      <c r="P13" s="119" t="str">
        <f>IF(Info!J3, "Unit", "Unidad")</f>
        <v>Unidad</v>
      </c>
      <c r="Q13" s="98"/>
      <c r="R13" s="99"/>
      <c r="S13" s="78"/>
    </row>
    <row r="14" spans="2:21" ht="18" customHeight="1" x14ac:dyDescent="0.2">
      <c r="B14" s="37">
        <v>1</v>
      </c>
      <c r="C14" s="38" t="str">
        <f>IF(Info!J3, "Body Mass ®", "Masa Corporal ®")</f>
        <v>Masa Corporal ®</v>
      </c>
      <c r="D14" s="56">
        <v>54.2</v>
      </c>
      <c r="E14" s="57">
        <v>54.2</v>
      </c>
      <c r="F14" s="58"/>
      <c r="H14" s="65">
        <f>IFERROR((E14-D14)/(AVERAGE(D14:E14)), "-")</f>
        <v>0</v>
      </c>
      <c r="I14" s="168" t="str">
        <f>IFERROR(IF(ABS(H14)&gt;1%, "Yes", "No"), "-")</f>
        <v>No</v>
      </c>
      <c r="K14" s="29">
        <f>IFERROR(MEDIAN(D14, E14, F14), "-")</f>
        <v>54.2</v>
      </c>
      <c r="M14" s="77"/>
      <c r="N14" s="95" t="str">
        <f t="shared" ref="N14:N34" si="2">C14</f>
        <v>Masa Corporal ®</v>
      </c>
      <c r="O14" s="96">
        <f t="shared" ref="O14:O34" si="3">IFERROR(K14, "-")</f>
        <v>54.2</v>
      </c>
      <c r="P14" s="97" t="s">
        <v>25</v>
      </c>
      <c r="Q14" s="85">
        <f>1/8.6*(+O14*((170.18/O$15)^3)-64.58)</f>
        <v>1.6027644450182785</v>
      </c>
      <c r="R14" s="86"/>
      <c r="S14" s="78"/>
    </row>
    <row r="15" spans="2:21" ht="18" customHeight="1" x14ac:dyDescent="0.2">
      <c r="B15" s="41">
        <v>2</v>
      </c>
      <c r="C15" s="42" t="str">
        <f>IF(Info!J3, "Stretch Stature ®", "Talla ®")</f>
        <v>Talla ®</v>
      </c>
      <c r="D15" s="59">
        <v>150.5</v>
      </c>
      <c r="E15" s="60">
        <v>150.5</v>
      </c>
      <c r="F15" s="61"/>
      <c r="H15" s="66">
        <f t="shared" ref="H15:H34" si="4">IFERROR((E15-D15)/(AVERAGE(D15:E15)), "-")</f>
        <v>0</v>
      </c>
      <c r="I15" s="67" t="str">
        <f t="shared" ref="I15:I17" si="5">IFERROR(IF(ABS(H15)&gt;1%, "Yes", "No"), "-")</f>
        <v>No</v>
      </c>
      <c r="K15" s="69">
        <f t="shared" ref="K15:K34" si="6">IFERROR(MEDIAN(D15, E15, F15), "-")</f>
        <v>150.5</v>
      </c>
      <c r="M15" s="77"/>
      <c r="N15" s="93" t="str">
        <f t="shared" si="2"/>
        <v>Talla ®</v>
      </c>
      <c r="O15" s="26">
        <f t="shared" si="3"/>
        <v>150.5</v>
      </c>
      <c r="P15" s="83" t="s">
        <v>26</v>
      </c>
      <c r="Q15" s="87" t="s">
        <v>44</v>
      </c>
      <c r="R15" s="88"/>
      <c r="S15" s="78"/>
    </row>
    <row r="16" spans="2:21" ht="18" customHeight="1" x14ac:dyDescent="0.2">
      <c r="B16" s="41">
        <v>3</v>
      </c>
      <c r="C16" s="42" t="str">
        <f>IF(Info!J3, "Sitting Height ®", "Talla Sentado ®")</f>
        <v>Talla Sentado ®</v>
      </c>
      <c r="D16" s="59">
        <v>82.5</v>
      </c>
      <c r="E16" s="60">
        <v>82.5</v>
      </c>
      <c r="F16" s="61"/>
      <c r="H16" s="66">
        <f t="shared" si="4"/>
        <v>0</v>
      </c>
      <c r="I16" s="67" t="str">
        <f t="shared" si="5"/>
        <v>No</v>
      </c>
      <c r="K16" s="69">
        <f t="shared" si="6"/>
        <v>82.5</v>
      </c>
      <c r="M16" s="77"/>
      <c r="N16" s="93" t="str">
        <f t="shared" si="2"/>
        <v>Talla Sentado ®</v>
      </c>
      <c r="O16" s="26">
        <f t="shared" si="3"/>
        <v>82.5</v>
      </c>
      <c r="P16" s="83" t="s">
        <v>26</v>
      </c>
      <c r="Q16" s="87">
        <f>1/4.5*(+O16*((170.18/O$15)^1)-89.92)</f>
        <v>0.74845330380213992</v>
      </c>
      <c r="R16" s="88"/>
      <c r="S16" s="78"/>
    </row>
    <row r="17" spans="2:19" ht="18" customHeight="1" thickBot="1" x14ac:dyDescent="0.25">
      <c r="B17" s="44">
        <v>4</v>
      </c>
      <c r="C17" s="45" t="str">
        <f>IF(Info!J3, "Arm Span ®", "Envergadura de Brazos ®")</f>
        <v>Envergadura de Brazos ®</v>
      </c>
      <c r="D17" s="62">
        <v>152.5</v>
      </c>
      <c r="E17" s="63">
        <v>152.5</v>
      </c>
      <c r="F17" s="64"/>
      <c r="H17" s="68">
        <f t="shared" si="4"/>
        <v>0</v>
      </c>
      <c r="I17" s="36" t="str">
        <f t="shared" si="5"/>
        <v>No</v>
      </c>
      <c r="K17" s="33">
        <f t="shared" si="6"/>
        <v>152.5</v>
      </c>
      <c r="M17" s="77"/>
      <c r="N17" s="94" t="str">
        <f t="shared" si="2"/>
        <v>Envergadura de Brazos ®</v>
      </c>
      <c r="O17" s="28">
        <f t="shared" si="3"/>
        <v>152.5</v>
      </c>
      <c r="P17" s="84" t="s">
        <v>26</v>
      </c>
      <c r="Q17" s="89">
        <f>1/7.41*(+O17*((170.18/O$15)^1)-172.35)</f>
        <v>1.2351989096175402E-2</v>
      </c>
      <c r="R17" s="90"/>
      <c r="S17" s="78"/>
    </row>
    <row r="18" spans="2:19" ht="18" customHeight="1" x14ac:dyDescent="0.2">
      <c r="B18" s="37">
        <v>5</v>
      </c>
      <c r="C18" s="38" t="str">
        <f>IF(Info!J3, "Triceps SF ®", "PL Tríceps ®")</f>
        <v>PL Tríceps ®</v>
      </c>
      <c r="D18" s="56">
        <v>15</v>
      </c>
      <c r="E18" s="57">
        <v>18</v>
      </c>
      <c r="F18" s="58">
        <v>17</v>
      </c>
      <c r="H18" s="65">
        <f t="shared" si="4"/>
        <v>0.18181818181818182</v>
      </c>
      <c r="I18" s="168" t="str">
        <f>IFERROR(IF(ABS(H18)&gt;5%, "Yes", "No"), "-")</f>
        <v>Yes</v>
      </c>
      <c r="K18" s="29">
        <f t="shared" si="6"/>
        <v>17</v>
      </c>
      <c r="M18" s="77"/>
      <c r="N18" s="92" t="str">
        <f t="shared" si="2"/>
        <v>PL Tríceps ®</v>
      </c>
      <c r="O18" s="25">
        <f t="shared" si="3"/>
        <v>17</v>
      </c>
      <c r="P18" s="82" t="s">
        <v>27</v>
      </c>
      <c r="Q18" s="85">
        <f>1/4.47*(+O18*((170.18/O$15)^1)-15.4)</f>
        <v>0.85525504098939453</v>
      </c>
      <c r="R18" s="91"/>
      <c r="S18" s="78"/>
    </row>
    <row r="19" spans="2:19" ht="18" customHeight="1" x14ac:dyDescent="0.2">
      <c r="B19" s="41">
        <v>6</v>
      </c>
      <c r="C19" s="42" t="str">
        <f>IF(Info!J3, "Subscapular SF ®", "PL Subescapular ®")</f>
        <v>PL Subescapular ®</v>
      </c>
      <c r="D19" s="59">
        <v>14</v>
      </c>
      <c r="E19" s="60">
        <v>17</v>
      </c>
      <c r="F19" s="61">
        <v>24</v>
      </c>
      <c r="H19" s="66">
        <f t="shared" si="4"/>
        <v>0.19354838709677419</v>
      </c>
      <c r="I19" s="67" t="str">
        <f t="shared" ref="I19:I25" si="7">IFERROR(IF(ABS(H19)&gt;5%, "Yes", "No"), "-")</f>
        <v>Yes</v>
      </c>
      <c r="K19" s="69">
        <f t="shared" si="6"/>
        <v>17</v>
      </c>
      <c r="M19" s="77"/>
      <c r="N19" s="93" t="str">
        <f t="shared" si="2"/>
        <v>PL Subescapular ®</v>
      </c>
      <c r="O19" s="26">
        <f t="shared" si="3"/>
        <v>17</v>
      </c>
      <c r="P19" s="83" t="s">
        <v>27</v>
      </c>
      <c r="Q19" s="87">
        <f>1/5.07*(+O19*((170.18/O$15)^1)-17.2)</f>
        <v>0.39901184087230657</v>
      </c>
      <c r="R19" s="88"/>
      <c r="S19" s="78"/>
    </row>
    <row r="20" spans="2:19" ht="18" customHeight="1" x14ac:dyDescent="0.2">
      <c r="B20" s="41">
        <v>7</v>
      </c>
      <c r="C20" s="42" t="str">
        <f>IF(Info!J3, "Biceps SF ®", "PL Bíceps ®")</f>
        <v>PL Bíceps ®</v>
      </c>
      <c r="D20" s="59">
        <v>8</v>
      </c>
      <c r="E20" s="60">
        <v>14</v>
      </c>
      <c r="F20" s="61">
        <v>14</v>
      </c>
      <c r="H20" s="66">
        <f t="shared" si="4"/>
        <v>0.54545454545454541</v>
      </c>
      <c r="I20" s="67" t="str">
        <f t="shared" si="7"/>
        <v>Yes</v>
      </c>
      <c r="K20" s="69">
        <f t="shared" si="6"/>
        <v>14</v>
      </c>
      <c r="M20" s="77"/>
      <c r="N20" s="93" t="str">
        <f t="shared" si="2"/>
        <v>PL Bíceps ®</v>
      </c>
      <c r="O20" s="26">
        <f t="shared" si="3"/>
        <v>14</v>
      </c>
      <c r="P20" s="83" t="s">
        <v>27</v>
      </c>
      <c r="Q20" s="87">
        <f>1/2*(+O20*((170.18/O$15)^1)-8)</f>
        <v>3.9153488372093026</v>
      </c>
      <c r="R20" s="88"/>
      <c r="S20" s="78"/>
    </row>
    <row r="21" spans="2:19" ht="18" customHeight="1" x14ac:dyDescent="0.2">
      <c r="B21" s="41">
        <v>8</v>
      </c>
      <c r="C21" s="42" t="str">
        <f>IF(Info!J3, "Iliac Crest SF ®", "PL Cresta Ilíaca ®")</f>
        <v>PL Cresta Ilíaca ®</v>
      </c>
      <c r="D21" s="59">
        <v>14</v>
      </c>
      <c r="E21" s="60">
        <v>16</v>
      </c>
      <c r="F21" s="61">
        <v>15</v>
      </c>
      <c r="H21" s="66">
        <f t="shared" si="4"/>
        <v>0.13333333333333333</v>
      </c>
      <c r="I21" s="67" t="str">
        <f t="shared" si="7"/>
        <v>Yes</v>
      </c>
      <c r="K21" s="69">
        <f t="shared" si="6"/>
        <v>15</v>
      </c>
      <c r="M21" s="77"/>
      <c r="N21" s="93" t="str">
        <f t="shared" si="2"/>
        <v>PL Cresta Ilíaca ®</v>
      </c>
      <c r="O21" s="26">
        <f t="shared" si="3"/>
        <v>15</v>
      </c>
      <c r="P21" s="83" t="s">
        <v>48</v>
      </c>
      <c r="Q21" s="87">
        <f>1/6.8*(+O21*((170.18/O$15)^1)-22.4)</f>
        <v>-0.79978503029118619</v>
      </c>
      <c r="R21" s="88"/>
      <c r="S21" s="78"/>
    </row>
    <row r="22" spans="2:19" ht="18" customHeight="1" x14ac:dyDescent="0.2">
      <c r="B22" s="41">
        <v>9</v>
      </c>
      <c r="C22" s="42" t="str">
        <f>IF(Info!J3, "Supraspinale SF ®", "PL Supraespinal ®")</f>
        <v>PL Supraespinal ®</v>
      </c>
      <c r="D22" s="59">
        <v>11</v>
      </c>
      <c r="E22" s="60">
        <v>10</v>
      </c>
      <c r="F22" s="61">
        <v>9</v>
      </c>
      <c r="H22" s="66">
        <f t="shared" si="4"/>
        <v>-9.5238095238095233E-2</v>
      </c>
      <c r="I22" s="67" t="str">
        <f t="shared" si="7"/>
        <v>Yes</v>
      </c>
      <c r="K22" s="69">
        <f t="shared" si="6"/>
        <v>10</v>
      </c>
      <c r="M22" s="77"/>
      <c r="N22" s="93" t="str">
        <f t="shared" si="2"/>
        <v>PL Supraespinal ®</v>
      </c>
      <c r="O22" s="26">
        <f t="shared" si="3"/>
        <v>10</v>
      </c>
      <c r="P22" s="83" t="s">
        <v>27</v>
      </c>
      <c r="Q22" s="87">
        <f>1/4.47*(+O22*((170.18/O$15)^1)-15.4)</f>
        <v>-0.91551651095899578</v>
      </c>
      <c r="R22" s="88"/>
      <c r="S22" s="78"/>
    </row>
    <row r="23" spans="2:19" ht="18" customHeight="1" x14ac:dyDescent="0.2">
      <c r="B23" s="41">
        <v>10</v>
      </c>
      <c r="C23" s="42" t="str">
        <f>IF(Info!J3, "Abdominal SF ®", "PL Abdominal ®")</f>
        <v>PL Abdominal ®</v>
      </c>
      <c r="D23" s="59">
        <v>12</v>
      </c>
      <c r="E23" s="60">
        <v>12</v>
      </c>
      <c r="F23" s="61"/>
      <c r="H23" s="66">
        <f t="shared" si="4"/>
        <v>0</v>
      </c>
      <c r="I23" s="67" t="str">
        <f t="shared" si="7"/>
        <v>No</v>
      </c>
      <c r="K23" s="69">
        <f t="shared" si="6"/>
        <v>12</v>
      </c>
      <c r="M23" s="77"/>
      <c r="N23" s="93" t="str">
        <f t="shared" si="2"/>
        <v>PL Abdominal ®</v>
      </c>
      <c r="O23" s="26">
        <f t="shared" si="3"/>
        <v>12</v>
      </c>
      <c r="P23" s="83" t="s">
        <v>27</v>
      </c>
      <c r="Q23" s="87">
        <f>1/7.78*(+O23*((170.18/O$15)^1)-25.4)</f>
        <v>-1.5206723090982071</v>
      </c>
      <c r="R23" s="88"/>
      <c r="S23" s="78"/>
    </row>
    <row r="24" spans="2:19" ht="18" customHeight="1" x14ac:dyDescent="0.2">
      <c r="B24" s="41">
        <v>11</v>
      </c>
      <c r="C24" s="42" t="str">
        <f>IF(Info!J3, "Thigh SF ®", "PL Muslo ®")</f>
        <v>PL Muslo ®</v>
      </c>
      <c r="D24" s="59">
        <v>27</v>
      </c>
      <c r="E24" s="60">
        <v>31</v>
      </c>
      <c r="F24" s="61">
        <v>30</v>
      </c>
      <c r="H24" s="66">
        <f t="shared" si="4"/>
        <v>0.13793103448275862</v>
      </c>
      <c r="I24" s="67" t="str">
        <f t="shared" si="7"/>
        <v>Yes</v>
      </c>
      <c r="K24" s="69">
        <f t="shared" si="6"/>
        <v>30</v>
      </c>
      <c r="M24" s="77"/>
      <c r="N24" s="93" t="str">
        <f t="shared" si="2"/>
        <v>PL Muslo ®</v>
      </c>
      <c r="O24" s="26">
        <f t="shared" si="3"/>
        <v>30</v>
      </c>
      <c r="P24" s="83" t="s">
        <v>27</v>
      </c>
      <c r="Q24" s="87">
        <f>1/8.33*(+O24*((170.18/O$15)^1)-27)</f>
        <v>0.83108326387033193</v>
      </c>
      <c r="R24" s="88"/>
      <c r="S24" s="78"/>
    </row>
    <row r="25" spans="2:19" ht="18" customHeight="1" thickBot="1" x14ac:dyDescent="0.25">
      <c r="B25" s="184">
        <v>12</v>
      </c>
      <c r="C25" s="185" t="str">
        <f>IF(Info!J3, "Calf SF ®", "PL Pierna ®")</f>
        <v>PL Pierna ®</v>
      </c>
      <c r="D25" s="186">
        <v>12</v>
      </c>
      <c r="E25" s="187">
        <v>12</v>
      </c>
      <c r="F25" s="188"/>
      <c r="H25" s="189">
        <f t="shared" si="4"/>
        <v>0</v>
      </c>
      <c r="I25" s="190" t="str">
        <f t="shared" si="7"/>
        <v>No</v>
      </c>
      <c r="K25" s="191">
        <f t="shared" si="6"/>
        <v>12</v>
      </c>
      <c r="M25" s="77"/>
      <c r="N25" s="94" t="str">
        <f t="shared" si="2"/>
        <v>PL Pierna ®</v>
      </c>
      <c r="O25" s="28">
        <f t="shared" si="3"/>
        <v>12</v>
      </c>
      <c r="P25" s="84" t="s">
        <v>27</v>
      </c>
      <c r="Q25" s="89">
        <f>1/4.67*(+O25*((170.18/O$15)^1)-16)</f>
        <v>-0.52052046355118908</v>
      </c>
      <c r="R25" s="90"/>
      <c r="S25" s="78"/>
    </row>
    <row r="26" spans="2:19" ht="18" customHeight="1" x14ac:dyDescent="0.2">
      <c r="B26" s="37">
        <v>13</v>
      </c>
      <c r="C26" s="38" t="str">
        <f>IF(Info!J3, "Arm Relaxed Girth ®", "PR Brazo Relajado ®")</f>
        <v>PR Brazo Relajado ®</v>
      </c>
      <c r="D26" s="56">
        <v>26.5</v>
      </c>
      <c r="E26" s="57">
        <v>26.5</v>
      </c>
      <c r="F26" s="58" t="s">
        <v>51</v>
      </c>
      <c r="H26" s="65">
        <f t="shared" si="4"/>
        <v>0</v>
      </c>
      <c r="I26" s="168" t="str">
        <f t="shared" ref="I26:I34" si="8">IFERROR(IF(ABS(H26)&gt;1%, "Yes", "No"), "-")</f>
        <v>No</v>
      </c>
      <c r="K26" s="29">
        <f t="shared" si="6"/>
        <v>26.5</v>
      </c>
      <c r="M26" s="77"/>
      <c r="N26" s="93" t="str">
        <f t="shared" si="2"/>
        <v>PR Brazo Relajado ®</v>
      </c>
      <c r="O26" s="26">
        <f t="shared" si="3"/>
        <v>26.5</v>
      </c>
      <c r="P26" s="83" t="s">
        <v>26</v>
      </c>
      <c r="Q26" s="87">
        <f>1/2.33*(+O26*((170.18/O$15)^1)-26.89)</f>
        <v>1.3198494289421534</v>
      </c>
      <c r="R26" s="88"/>
      <c r="S26" s="78"/>
    </row>
    <row r="27" spans="2:19" ht="18" customHeight="1" x14ac:dyDescent="0.2">
      <c r="B27" s="41">
        <v>14</v>
      </c>
      <c r="C27" s="42" t="str">
        <f>IF(Info!J3, "Arm Flexed and Tensed Girth ®", "PR Brazo Flexionado y Contraído ®")</f>
        <v>PR Brazo Flexionado y Contraído ®</v>
      </c>
      <c r="D27" s="59">
        <v>27</v>
      </c>
      <c r="E27" s="60">
        <v>27</v>
      </c>
      <c r="F27" s="61"/>
      <c r="H27" s="66">
        <f t="shared" si="4"/>
        <v>0</v>
      </c>
      <c r="I27" s="67" t="str">
        <f t="shared" si="8"/>
        <v>No</v>
      </c>
      <c r="K27" s="69">
        <f t="shared" si="6"/>
        <v>27</v>
      </c>
      <c r="M27" s="77"/>
      <c r="N27" s="93" t="str">
        <f t="shared" si="2"/>
        <v>PR Brazo Flexionado y Contraído ®</v>
      </c>
      <c r="O27" s="26">
        <f t="shared" si="3"/>
        <v>27</v>
      </c>
      <c r="P27" s="83" t="s">
        <v>26</v>
      </c>
      <c r="Q27" s="87">
        <f>1/2.37*(+O27*((170.18/O$15)^1)-29.41)</f>
        <v>0.4728401811121854</v>
      </c>
      <c r="R27" s="88"/>
      <c r="S27" s="78"/>
    </row>
    <row r="28" spans="2:19" ht="18" customHeight="1" x14ac:dyDescent="0.2">
      <c r="B28" s="41">
        <v>15</v>
      </c>
      <c r="C28" s="42" t="str">
        <f>IF(Info!J3, "Waist Girth ®", "PR Cintura ®")</f>
        <v>PR Cintura ®</v>
      </c>
      <c r="D28" s="59">
        <v>74.2</v>
      </c>
      <c r="E28" s="60">
        <v>74.2</v>
      </c>
      <c r="F28" s="61" t="s">
        <v>52</v>
      </c>
      <c r="H28" s="66">
        <f t="shared" si="4"/>
        <v>0</v>
      </c>
      <c r="I28" s="67" t="str">
        <f t="shared" si="8"/>
        <v>No</v>
      </c>
      <c r="K28" s="69">
        <f t="shared" si="6"/>
        <v>74.2</v>
      </c>
      <c r="M28" s="77"/>
      <c r="N28" s="93" t="str">
        <f t="shared" si="2"/>
        <v>PR Cintura ®</v>
      </c>
      <c r="O28" s="26">
        <f t="shared" si="3"/>
        <v>74.2</v>
      </c>
      <c r="P28" s="83" t="s">
        <v>26</v>
      </c>
      <c r="Q28" s="87">
        <f>1/4.45*(+O28*((170.18/O$15)^1)-71.91)</f>
        <v>2.6949882414423838</v>
      </c>
      <c r="R28" s="88"/>
      <c r="S28" s="78"/>
    </row>
    <row r="29" spans="2:19" ht="18" customHeight="1" x14ac:dyDescent="0.2">
      <c r="B29" s="41">
        <v>16</v>
      </c>
      <c r="C29" s="42" t="str">
        <f>IF(Info!J3, "Hips Girth ®", "PR Caderas ®")</f>
        <v>PR Caderas ®</v>
      </c>
      <c r="D29" s="59">
        <v>95</v>
      </c>
      <c r="E29" s="60">
        <v>94</v>
      </c>
      <c r="F29" s="61" t="s">
        <v>53</v>
      </c>
      <c r="H29" s="66">
        <f t="shared" si="4"/>
        <v>-1.0582010582010581E-2</v>
      </c>
      <c r="I29" s="67" t="str">
        <f t="shared" si="8"/>
        <v>Yes</v>
      </c>
      <c r="K29" s="69">
        <f t="shared" si="6"/>
        <v>94.5</v>
      </c>
      <c r="M29" s="77"/>
      <c r="N29" s="93" t="str">
        <f t="shared" si="2"/>
        <v>PR Caderas ®</v>
      </c>
      <c r="O29" s="26">
        <f t="shared" si="3"/>
        <v>94.5</v>
      </c>
      <c r="P29" s="83" t="s">
        <v>26</v>
      </c>
      <c r="Q29" s="87">
        <f>1/5.58*(+O29*((170.18/O$15)^1)-94.67)</f>
        <v>2.1840876885888143</v>
      </c>
      <c r="R29" s="88"/>
      <c r="S29" s="78"/>
    </row>
    <row r="30" spans="2:19" ht="18" customHeight="1" x14ac:dyDescent="0.2">
      <c r="B30" s="41">
        <v>17</v>
      </c>
      <c r="C30" s="42" t="str">
        <f>IF(Info!J3, "Thigh Middle Girth ®", "PR Muslo Medio ®")</f>
        <v>PR Muslo Medio ®</v>
      </c>
      <c r="D30" s="59">
        <v>45.5</v>
      </c>
      <c r="E30" s="60">
        <v>46</v>
      </c>
      <c r="F30" s="61" t="s">
        <v>54</v>
      </c>
      <c r="H30" s="66">
        <f t="shared" si="4"/>
        <v>1.092896174863388E-2</v>
      </c>
      <c r="I30" s="67" t="str">
        <f t="shared" si="8"/>
        <v>Yes</v>
      </c>
      <c r="K30" s="69">
        <f t="shared" si="6"/>
        <v>45.75</v>
      </c>
      <c r="M30" s="77"/>
      <c r="N30" s="93" t="str">
        <f t="shared" si="2"/>
        <v>PR Muslo Medio ®</v>
      </c>
      <c r="O30" s="26">
        <f t="shared" si="3"/>
        <v>45.75</v>
      </c>
      <c r="P30" s="83" t="s">
        <v>26</v>
      </c>
      <c r="Q30" s="87">
        <f>1/4.56*(+O30*((170.18/O$15)^1)-53.2)</f>
        <v>-0.32182928250859705</v>
      </c>
      <c r="R30" s="88"/>
      <c r="S30" s="78"/>
    </row>
    <row r="31" spans="2:19" ht="18" customHeight="1" thickBot="1" x14ac:dyDescent="0.25">
      <c r="B31" s="44">
        <v>18</v>
      </c>
      <c r="C31" s="45" t="str">
        <f>IF(Info!J3, "Calf Girth ®", "PR Pierna ®")</f>
        <v>PR Pierna ®</v>
      </c>
      <c r="D31" s="62">
        <v>32</v>
      </c>
      <c r="E31" s="63">
        <v>32</v>
      </c>
      <c r="F31" s="64"/>
      <c r="H31" s="68">
        <f t="shared" si="4"/>
        <v>0</v>
      </c>
      <c r="I31" s="36" t="str">
        <f t="shared" si="8"/>
        <v>No</v>
      </c>
      <c r="K31" s="33">
        <f t="shared" si="6"/>
        <v>32</v>
      </c>
      <c r="M31" s="77"/>
      <c r="N31" s="192" t="str">
        <f t="shared" si="2"/>
        <v>PR Pierna ®</v>
      </c>
      <c r="O31" s="193">
        <f t="shared" si="3"/>
        <v>32</v>
      </c>
      <c r="P31" s="194" t="s">
        <v>26</v>
      </c>
      <c r="Q31" s="195">
        <f>1/2.3*(+O31*((170.18/O$15)^1)-35.25)</f>
        <v>0.40628340314892447</v>
      </c>
      <c r="R31" s="196"/>
      <c r="S31" s="78"/>
    </row>
    <row r="32" spans="2:19" ht="18" customHeight="1" x14ac:dyDescent="0.2">
      <c r="B32" s="37">
        <v>19</v>
      </c>
      <c r="C32" s="38" t="str">
        <f>IF(Info!J3, "Humerus Breadth ®", "D Húmero ®")</f>
        <v>D Húmero ®</v>
      </c>
      <c r="D32" s="56">
        <v>8.8000000000000007</v>
      </c>
      <c r="E32" s="57">
        <v>8.8000000000000007</v>
      </c>
      <c r="F32" s="58"/>
      <c r="H32" s="65">
        <f t="shared" si="4"/>
        <v>0</v>
      </c>
      <c r="I32" s="168" t="str">
        <f t="shared" si="8"/>
        <v>No</v>
      </c>
      <c r="K32" s="29">
        <f t="shared" si="6"/>
        <v>8.8000000000000007</v>
      </c>
      <c r="M32" s="77"/>
      <c r="N32" s="92" t="str">
        <f t="shared" si="2"/>
        <v>D Húmero ®</v>
      </c>
      <c r="O32" s="25">
        <f t="shared" si="3"/>
        <v>8.8000000000000007</v>
      </c>
      <c r="P32" s="82" t="s">
        <v>26</v>
      </c>
      <c r="Q32" s="85">
        <f>1/0.35*(+O32*((170.18/O$15)^1)-6.48)</f>
        <v>9.9163550071191313</v>
      </c>
      <c r="R32" s="91"/>
      <c r="S32" s="78"/>
    </row>
    <row r="33" spans="2:19" ht="18" customHeight="1" x14ac:dyDescent="0.2">
      <c r="B33" s="41">
        <v>20</v>
      </c>
      <c r="C33" s="42" t="str">
        <f>IF(Info!J3, "Bi-Styloid Breadth ®", "D Biestiloideo ®")</f>
        <v>D Biestiloideo ®</v>
      </c>
      <c r="D33" s="59">
        <v>7.9</v>
      </c>
      <c r="E33" s="60">
        <v>7</v>
      </c>
      <c r="F33" s="61">
        <v>7</v>
      </c>
      <c r="H33" s="66">
        <f t="shared" si="4"/>
        <v>-0.12080536912751683</v>
      </c>
      <c r="I33" s="67" t="str">
        <f t="shared" si="8"/>
        <v>Yes</v>
      </c>
      <c r="K33" s="69">
        <f t="shared" si="6"/>
        <v>7</v>
      </c>
      <c r="M33" s="77"/>
      <c r="N33" s="93" t="str">
        <f t="shared" si="2"/>
        <v>D Biestiloideo ®</v>
      </c>
      <c r="O33" s="26">
        <f t="shared" si="3"/>
        <v>7</v>
      </c>
      <c r="P33" s="83" t="s">
        <v>26</v>
      </c>
      <c r="Q33" s="87">
        <f>1/0.28*(+O33*((170.18/O$15)^1)-5.21)</f>
        <v>9.6619601328903659</v>
      </c>
      <c r="R33" s="88"/>
      <c r="S33" s="78"/>
    </row>
    <row r="34" spans="2:19" ht="18" customHeight="1" thickBot="1" x14ac:dyDescent="0.25">
      <c r="B34" s="44">
        <v>21</v>
      </c>
      <c r="C34" s="45" t="str">
        <f>IF(Info!J3, "Femur Breadth ®", "D Fémur ®")</f>
        <v>D Fémur ®</v>
      </c>
      <c r="D34" s="62">
        <v>12</v>
      </c>
      <c r="E34" s="63">
        <v>11</v>
      </c>
      <c r="F34" s="64">
        <v>11</v>
      </c>
      <c r="H34" s="68">
        <f t="shared" si="4"/>
        <v>-8.6956521739130432E-2</v>
      </c>
      <c r="I34" s="36" t="str">
        <f t="shared" si="8"/>
        <v>Yes</v>
      </c>
      <c r="K34" s="33">
        <f t="shared" si="6"/>
        <v>11</v>
      </c>
      <c r="M34" s="77"/>
      <c r="N34" s="94" t="str">
        <f t="shared" si="2"/>
        <v>D Fémur ®</v>
      </c>
      <c r="O34" s="28">
        <f t="shared" si="3"/>
        <v>11</v>
      </c>
      <c r="P34" s="84" t="s">
        <v>26</v>
      </c>
      <c r="Q34" s="89">
        <f>1/0.48*(+O34*((170.18/O$15)^1)-9.52)</f>
        <v>6.0800110741971229</v>
      </c>
      <c r="R34" s="90"/>
      <c r="S34" s="78"/>
    </row>
    <row r="35" spans="2:19" ht="18" customHeight="1" x14ac:dyDescent="0.2">
      <c r="D35" s="19"/>
      <c r="E35" s="19"/>
      <c r="F35" s="19"/>
      <c r="H35" s="71"/>
      <c r="K35" s="19"/>
      <c r="M35" s="77"/>
      <c r="N35" s="92" t="str">
        <f>IF(Info!J3, "Corrected Arm Girth", "PR Brazo Corregido")</f>
        <v>PR Brazo Corregido</v>
      </c>
      <c r="O35" s="25">
        <f>IFERROR(K26-PI()*(K18/10), "-")</f>
        <v>21.15929248889735</v>
      </c>
      <c r="P35" s="82" t="s">
        <v>26</v>
      </c>
      <c r="Q35" s="85">
        <f>1/1.91*(+O35*((170.18/O$15)^1)-22.05)</f>
        <v>0.98228729978797047</v>
      </c>
      <c r="R35" s="91"/>
      <c r="S35" s="78"/>
    </row>
    <row r="36" spans="2:19" ht="18" customHeight="1" x14ac:dyDescent="0.2">
      <c r="K36" s="19"/>
      <c r="M36" s="77"/>
      <c r="N36" s="93" t="str">
        <f>IF(Info!J3, "Corrected Thigh Girth", "PR Muslo Corregido")</f>
        <v>PR Muslo Corregido</v>
      </c>
      <c r="O36" s="26">
        <f>IFERROR(K30-PI()*(K24/10), "-")</f>
        <v>36.325222039230624</v>
      </c>
      <c r="P36" s="83" t="s">
        <v>26</v>
      </c>
      <c r="Q36" s="87">
        <f>1/3.59*(+O36*((170.18/O$15)^1)-47.34)</f>
        <v>-1.7450535603026736</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f>IFERROR(K31-PI()*(K25/10), "-")</f>
        <v>28.230088815692248</v>
      </c>
      <c r="P37" s="84" t="s">
        <v>26</v>
      </c>
      <c r="Q37" s="89">
        <f>1/1.97*(+O37*((170.18/O$15)^1)-30.22)</f>
        <v>0.86374189134191404</v>
      </c>
      <c r="R37" s="90"/>
      <c r="S37" s="78"/>
    </row>
    <row r="38" spans="2:19" ht="18" customHeight="1" thickBot="1" x14ac:dyDescent="0.25">
      <c r="B38" s="79">
        <f t="shared" ref="B38:C58" si="9">B14</f>
        <v>1</v>
      </c>
      <c r="C38" s="108" t="str">
        <f t="shared" si="9"/>
        <v>Masa Corporal ®</v>
      </c>
      <c r="D38" s="79">
        <f t="shared" ref="D38:D58" si="10">IF(D14=E14, 1, 0)</f>
        <v>1</v>
      </c>
      <c r="E38" s="79">
        <f t="shared" ref="E38:E58" si="11">IF(D14=F14, 1, 0)</f>
        <v>0</v>
      </c>
      <c r="F38" s="79">
        <f t="shared" ref="F38:F58" si="12">IF(E14=F14, 1, 0)</f>
        <v>0</v>
      </c>
      <c r="G38" s="79">
        <f t="shared" ref="G38:G58" si="13">IF(F14="", 0, 1)</f>
        <v>0</v>
      </c>
      <c r="H38" s="79">
        <f t="shared" ref="H38:H58" si="14">IF(I14="Yes", 1, 0)</f>
        <v>0</v>
      </c>
      <c r="I38" s="79">
        <f t="shared" ref="I38:I58" si="15">COUNTIF(D14, "")</f>
        <v>0</v>
      </c>
      <c r="J38" s="79">
        <f t="shared" ref="J38:J58" si="16">COUNTIF(E14, "")</f>
        <v>0</v>
      </c>
      <c r="K38" s="19"/>
      <c r="M38" s="77"/>
      <c r="S38" s="78"/>
    </row>
    <row r="39" spans="2:19" ht="18" customHeight="1" thickBot="1" x14ac:dyDescent="0.25">
      <c r="B39" s="79">
        <f t="shared" si="9"/>
        <v>2</v>
      </c>
      <c r="C39" s="108" t="str">
        <f t="shared" si="9"/>
        <v>Talla ®</v>
      </c>
      <c r="D39" s="79">
        <f t="shared" si="10"/>
        <v>1</v>
      </c>
      <c r="E39" s="79">
        <f t="shared" si="11"/>
        <v>0</v>
      </c>
      <c r="F39" s="79">
        <f t="shared" si="12"/>
        <v>0</v>
      </c>
      <c r="G39" s="79">
        <f t="shared" si="13"/>
        <v>0</v>
      </c>
      <c r="H39" s="79">
        <f t="shared" si="14"/>
        <v>0</v>
      </c>
      <c r="I39" s="79">
        <f t="shared" si="15"/>
        <v>0</v>
      </c>
      <c r="J39" s="79">
        <f t="shared" si="16"/>
        <v>0</v>
      </c>
      <c r="K39" s="19"/>
      <c r="M39" s="77"/>
      <c r="N39" s="284" t="str">
        <f>IF(Info!J3, "Somatotype (Heath-Carter)", "Somatotipo (Heath-Carter)")</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0</v>
      </c>
      <c r="F40" s="79">
        <f t="shared" si="12"/>
        <v>0</v>
      </c>
      <c r="G40" s="79">
        <f t="shared" si="13"/>
        <v>0</v>
      </c>
      <c r="H40" s="79">
        <f t="shared" si="14"/>
        <v>0</v>
      </c>
      <c r="I40" s="79">
        <f t="shared" si="15"/>
        <v>0</v>
      </c>
      <c r="J40" s="79">
        <f t="shared" si="16"/>
        <v>0</v>
      </c>
      <c r="K40" s="19"/>
      <c r="M40" s="77"/>
      <c r="N40" s="100" t="str">
        <f>IF(Info!J3, "Endomorphy", "Endomorfia")</f>
        <v>Endomorfia</v>
      </c>
      <c r="O40" s="276">
        <f>IFERROR(-0.7182+0.1451*((O18+O19+O22)*(170.18/O15))-0.00068*(((O18+O19+O22)*(170.18/O15))^2)+0.0000014*(((O18+O19+O22)*(170.18/O15))^3), "-")</f>
        <v>4.9901886714865551</v>
      </c>
      <c r="P40" s="277"/>
      <c r="R40" s="19"/>
      <c r="S40" s="78"/>
    </row>
    <row r="41" spans="2:19" ht="18" customHeight="1" x14ac:dyDescent="0.2">
      <c r="B41" s="79">
        <f t="shared" si="9"/>
        <v>4</v>
      </c>
      <c r="C41" s="108" t="str">
        <f t="shared" si="9"/>
        <v>Envergadura de Brazos ®</v>
      </c>
      <c r="D41" s="79">
        <f t="shared" si="10"/>
        <v>1</v>
      </c>
      <c r="E41" s="79">
        <f t="shared" si="11"/>
        <v>0</v>
      </c>
      <c r="F41" s="79">
        <f t="shared" si="12"/>
        <v>0</v>
      </c>
      <c r="G41" s="79">
        <f t="shared" si="13"/>
        <v>0</v>
      </c>
      <c r="H41" s="79">
        <f t="shared" si="14"/>
        <v>0</v>
      </c>
      <c r="I41" s="79">
        <f t="shared" si="15"/>
        <v>0</v>
      </c>
      <c r="J41" s="79">
        <f t="shared" si="16"/>
        <v>0</v>
      </c>
      <c r="K41" s="19"/>
      <c r="M41" s="77"/>
      <c r="N41" s="101" t="str">
        <f>IF(Info!J3, "Mesomorphy", "Mesomorfia")</f>
        <v>Mesomorfia</v>
      </c>
      <c r="O41" s="274">
        <f>IFERROR((0.858*O32)+(0.601*O34)+(0.188*(O27-(O18/10)))+(0.161*(O31-(O25/10)))-(0.131*O15)+4.5, "-")</f>
        <v>8.6610999999999976</v>
      </c>
      <c r="P41" s="275"/>
      <c r="S41" s="78"/>
    </row>
    <row r="42" spans="2:19" ht="18" customHeight="1" thickBot="1" x14ac:dyDescent="0.25">
      <c r="B42" s="79">
        <f t="shared" si="9"/>
        <v>5</v>
      </c>
      <c r="C42" s="108" t="str">
        <f t="shared" si="9"/>
        <v>PL Tríceps ®</v>
      </c>
      <c r="D42" s="79">
        <f t="shared" si="10"/>
        <v>0</v>
      </c>
      <c r="E42" s="79">
        <f t="shared" si="11"/>
        <v>0</v>
      </c>
      <c r="F42" s="79">
        <f t="shared" si="12"/>
        <v>0</v>
      </c>
      <c r="G42" s="79">
        <f t="shared" si="13"/>
        <v>1</v>
      </c>
      <c r="H42" s="79">
        <f t="shared" si="14"/>
        <v>1</v>
      </c>
      <c r="I42" s="79">
        <f t="shared" si="15"/>
        <v>0</v>
      </c>
      <c r="J42" s="79">
        <f t="shared" si="16"/>
        <v>0</v>
      </c>
      <c r="K42" s="19"/>
      <c r="M42" s="77"/>
      <c r="N42" s="34" t="str">
        <f>IF(Info!J3, "Ectomorphy", "Ectomorfia")</f>
        <v>Ectomorfia</v>
      </c>
      <c r="O42" s="272">
        <f>IFERROR(IF(O15/(O14^0.3333)&gt;40.75, ((0.732*O15/(O14^0.3333))-28.58), IF(O15/(O14^0.3333)&gt;38.28, ((0.463*O15/(O14^0.3333))-17.63), 0.1)), "-")</f>
        <v>0.78516136419002791</v>
      </c>
      <c r="P42" s="273"/>
      <c r="R42" s="53"/>
      <c r="S42" s="78"/>
    </row>
    <row r="43" spans="2:19" ht="18" customHeight="1" x14ac:dyDescent="0.2">
      <c r="B43" s="79">
        <f t="shared" si="9"/>
        <v>6</v>
      </c>
      <c r="C43" s="108" t="str">
        <f t="shared" si="9"/>
        <v>PL Subescapular ®</v>
      </c>
      <c r="D43" s="79">
        <f t="shared" si="10"/>
        <v>0</v>
      </c>
      <c r="E43" s="79">
        <f t="shared" si="11"/>
        <v>0</v>
      </c>
      <c r="F43" s="79">
        <f t="shared" si="12"/>
        <v>0</v>
      </c>
      <c r="G43" s="79">
        <f t="shared" si="13"/>
        <v>1</v>
      </c>
      <c r="H43" s="79">
        <f t="shared" si="14"/>
        <v>1</v>
      </c>
      <c r="I43" s="79">
        <f t="shared" si="15"/>
        <v>0</v>
      </c>
      <c r="J43" s="79">
        <f t="shared" si="16"/>
        <v>0</v>
      </c>
      <c r="K43" s="19"/>
      <c r="M43" s="77"/>
      <c r="N43" s="100" t="s">
        <v>46</v>
      </c>
      <c r="O43" s="276">
        <f>IFERROR(O42-O40, "-")</f>
        <v>-4.2050273072965272</v>
      </c>
      <c r="P43" s="277"/>
      <c r="S43" s="78"/>
    </row>
    <row r="44" spans="2:19" ht="18" customHeight="1" thickBot="1" x14ac:dyDescent="0.25">
      <c r="B44" s="79">
        <f t="shared" si="9"/>
        <v>7</v>
      </c>
      <c r="C44" s="108" t="str">
        <f t="shared" si="9"/>
        <v>PL Bíceps ®</v>
      </c>
      <c r="D44" s="79">
        <f t="shared" si="10"/>
        <v>0</v>
      </c>
      <c r="E44" s="79">
        <f t="shared" si="11"/>
        <v>0</v>
      </c>
      <c r="F44" s="79">
        <f t="shared" si="12"/>
        <v>1</v>
      </c>
      <c r="G44" s="79">
        <f t="shared" si="13"/>
        <v>1</v>
      </c>
      <c r="H44" s="79">
        <f t="shared" si="14"/>
        <v>1</v>
      </c>
      <c r="I44" s="79">
        <f t="shared" si="15"/>
        <v>0</v>
      </c>
      <c r="J44" s="79">
        <f t="shared" si="16"/>
        <v>0</v>
      </c>
      <c r="K44" s="19"/>
      <c r="M44" s="77"/>
      <c r="N44" s="34" t="s">
        <v>47</v>
      </c>
      <c r="O44" s="272">
        <f>IFERROR(2*O41-(O42+O40), "-")</f>
        <v>11.546849964323412</v>
      </c>
      <c r="P44" s="273"/>
      <c r="S44" s="78"/>
    </row>
    <row r="45" spans="2:19" ht="18" customHeight="1" thickBot="1" x14ac:dyDescent="0.25">
      <c r="B45" s="79">
        <f t="shared" si="9"/>
        <v>8</v>
      </c>
      <c r="C45" s="108" t="str">
        <f t="shared" si="9"/>
        <v>PL Cresta Ilíaca ®</v>
      </c>
      <c r="D45" s="79">
        <f t="shared" si="10"/>
        <v>0</v>
      </c>
      <c r="E45" s="79">
        <f t="shared" si="11"/>
        <v>0</v>
      </c>
      <c r="F45" s="79">
        <f t="shared" si="12"/>
        <v>0</v>
      </c>
      <c r="G45" s="79">
        <f t="shared" si="13"/>
        <v>1</v>
      </c>
      <c r="H45" s="79">
        <f t="shared" si="14"/>
        <v>1</v>
      </c>
      <c r="I45" s="79">
        <f t="shared" si="15"/>
        <v>0</v>
      </c>
      <c r="J45" s="79">
        <f t="shared" si="16"/>
        <v>0</v>
      </c>
      <c r="K45" s="19"/>
      <c r="M45" s="77"/>
      <c r="S45" s="78"/>
    </row>
    <row r="46" spans="2:19" ht="18" customHeight="1" thickBot="1" x14ac:dyDescent="0.25">
      <c r="B46" s="79">
        <f t="shared" si="9"/>
        <v>9</v>
      </c>
      <c r="C46" s="108" t="str">
        <f t="shared" si="9"/>
        <v>PL Supraespinal ®</v>
      </c>
      <c r="D46" s="79">
        <f t="shared" si="10"/>
        <v>0</v>
      </c>
      <c r="E46" s="79">
        <f t="shared" si="11"/>
        <v>0</v>
      </c>
      <c r="F46" s="79">
        <f t="shared" si="12"/>
        <v>0</v>
      </c>
      <c r="G46" s="79">
        <f t="shared" si="13"/>
        <v>1</v>
      </c>
      <c r="H46" s="79">
        <f t="shared" si="14"/>
        <v>1</v>
      </c>
      <c r="I46" s="79">
        <f t="shared" si="15"/>
        <v>0</v>
      </c>
      <c r="J46" s="79">
        <f t="shared" si="16"/>
        <v>0</v>
      </c>
      <c r="M46" s="77"/>
      <c r="N46" s="72" t="str">
        <f>IF(Info!J3, "Body Mass Index (BMI)", "Índice de Masa Corporal (IMC)" )</f>
        <v>Índice de Masa Corporal (IMC)</v>
      </c>
      <c r="O46" s="102">
        <f>IFERROR(O14/(O15/100)^2, "-")</f>
        <v>23.929095705345421</v>
      </c>
      <c r="P46" s="104" t="s">
        <v>34</v>
      </c>
      <c r="S46" s="78"/>
    </row>
    <row r="47" spans="2:19" ht="18" customHeight="1" thickBot="1" x14ac:dyDescent="0.25">
      <c r="B47" s="79">
        <f t="shared" si="9"/>
        <v>10</v>
      </c>
      <c r="C47" s="108" t="str">
        <f t="shared" si="9"/>
        <v>PL Abdominal ®</v>
      </c>
      <c r="D47" s="79">
        <f t="shared" si="10"/>
        <v>1</v>
      </c>
      <c r="E47" s="79">
        <f t="shared" si="11"/>
        <v>0</v>
      </c>
      <c r="F47" s="79">
        <f t="shared" si="12"/>
        <v>0</v>
      </c>
      <c r="G47" s="79">
        <f t="shared" si="13"/>
        <v>0</v>
      </c>
      <c r="H47" s="79">
        <f t="shared" si="14"/>
        <v>0</v>
      </c>
      <c r="I47" s="79">
        <f t="shared" si="15"/>
        <v>0</v>
      </c>
      <c r="J47" s="79">
        <f t="shared" si="16"/>
        <v>0</v>
      </c>
      <c r="M47" s="77"/>
      <c r="S47" s="78"/>
    </row>
    <row r="48" spans="2:19" ht="18" customHeight="1" thickBot="1" x14ac:dyDescent="0.25">
      <c r="B48" s="79">
        <f t="shared" si="9"/>
        <v>11</v>
      </c>
      <c r="C48" s="108" t="str">
        <f t="shared" si="9"/>
        <v>PL Muslo ®</v>
      </c>
      <c r="D48" s="79">
        <f t="shared" si="10"/>
        <v>0</v>
      </c>
      <c r="E48" s="79">
        <f t="shared" si="11"/>
        <v>0</v>
      </c>
      <c r="F48" s="79">
        <f t="shared" si="12"/>
        <v>0</v>
      </c>
      <c r="G48" s="79">
        <f t="shared" si="13"/>
        <v>1</v>
      </c>
      <c r="H48" s="79">
        <f t="shared" si="14"/>
        <v>1</v>
      </c>
      <c r="I48" s="79">
        <f t="shared" si="15"/>
        <v>0</v>
      </c>
      <c r="J48" s="79">
        <f t="shared" si="16"/>
        <v>0</v>
      </c>
      <c r="M48" s="77"/>
      <c r="N48" s="72" t="str">
        <f>IF(Info!J3, "Waist/Hip Ratio", "Índice Cintura/Cadera")</f>
        <v>Índice Cintura/Cadera</v>
      </c>
      <c r="O48" s="293">
        <f>IFERROR(O28/O29, "-")</f>
        <v>0.78518518518518521</v>
      </c>
      <c r="P48" s="294"/>
      <c r="Q48" s="53"/>
      <c r="S48" s="78"/>
    </row>
    <row r="49" spans="2:19" ht="18" customHeight="1" thickBot="1" x14ac:dyDescent="0.25">
      <c r="B49" s="79">
        <f t="shared" si="9"/>
        <v>12</v>
      </c>
      <c r="C49" s="108" t="str">
        <f t="shared" si="9"/>
        <v>PL Pierna ®</v>
      </c>
      <c r="D49" s="79">
        <f t="shared" si="10"/>
        <v>1</v>
      </c>
      <c r="E49" s="79">
        <f t="shared" si="11"/>
        <v>0</v>
      </c>
      <c r="F49" s="79">
        <f t="shared" si="12"/>
        <v>0</v>
      </c>
      <c r="G49" s="79">
        <f t="shared" si="13"/>
        <v>0</v>
      </c>
      <c r="H49" s="79">
        <f t="shared" si="14"/>
        <v>0</v>
      </c>
      <c r="I49" s="79">
        <f t="shared" si="15"/>
        <v>0</v>
      </c>
      <c r="J49" s="79">
        <f t="shared" si="16"/>
        <v>0</v>
      </c>
      <c r="M49" s="77"/>
      <c r="S49" s="78"/>
    </row>
    <row r="50" spans="2:19" ht="18" customHeight="1" thickBot="1" x14ac:dyDescent="0.25">
      <c r="B50" s="79">
        <f t="shared" si="9"/>
        <v>13</v>
      </c>
      <c r="C50" s="108" t="str">
        <f t="shared" si="9"/>
        <v>PR Brazo Relajado ®</v>
      </c>
      <c r="D50" s="79">
        <f t="shared" si="10"/>
        <v>1</v>
      </c>
      <c r="E50" s="79">
        <f t="shared" si="11"/>
        <v>0</v>
      </c>
      <c r="F50" s="79">
        <f t="shared" si="12"/>
        <v>0</v>
      </c>
      <c r="G50" s="79">
        <f t="shared" si="13"/>
        <v>1</v>
      </c>
      <c r="H50" s="79">
        <f t="shared" si="14"/>
        <v>0</v>
      </c>
      <c r="I50" s="79">
        <f t="shared" si="15"/>
        <v>0</v>
      </c>
      <c r="J50" s="79">
        <f t="shared" si="16"/>
        <v>0</v>
      </c>
      <c r="M50" s="77"/>
      <c r="N50" s="72" t="str">
        <f>IF(Info!J3, "Waist/Stature Ratio", "Índice Cintura/Talla")</f>
        <v>Índice Cintura/Talla</v>
      </c>
      <c r="O50" s="293">
        <f>IFERROR(O28/O15, "-")</f>
        <v>0.49302325581395351</v>
      </c>
      <c r="P50" s="294"/>
      <c r="S50" s="78"/>
    </row>
    <row r="51" spans="2:19" ht="18" customHeight="1" thickBot="1" x14ac:dyDescent="0.25">
      <c r="B51" s="79">
        <f t="shared" si="9"/>
        <v>14</v>
      </c>
      <c r="C51" s="108" t="str">
        <f t="shared" si="9"/>
        <v>PR Brazo Flexionado y Contraído ®</v>
      </c>
      <c r="D51" s="79">
        <f t="shared" si="10"/>
        <v>1</v>
      </c>
      <c r="E51" s="79">
        <f t="shared" si="11"/>
        <v>0</v>
      </c>
      <c r="F51" s="79">
        <f t="shared" si="12"/>
        <v>0</v>
      </c>
      <c r="G51" s="79">
        <f t="shared" si="13"/>
        <v>0</v>
      </c>
      <c r="H51" s="79">
        <f t="shared" si="14"/>
        <v>0</v>
      </c>
      <c r="I51" s="79">
        <f t="shared" si="15"/>
        <v>0</v>
      </c>
      <c r="J51" s="79">
        <f t="shared" si="16"/>
        <v>0</v>
      </c>
      <c r="M51" s="77"/>
      <c r="Q51" s="53"/>
      <c r="S51" s="78"/>
    </row>
    <row r="52" spans="2:19" ht="18" customHeight="1" thickBot="1" x14ac:dyDescent="0.25">
      <c r="B52" s="79">
        <f t="shared" si="9"/>
        <v>15</v>
      </c>
      <c r="C52" s="108" t="str">
        <f t="shared" si="9"/>
        <v>PR Cintura ®</v>
      </c>
      <c r="D52" s="79">
        <f t="shared" si="10"/>
        <v>1</v>
      </c>
      <c r="E52" s="79">
        <f t="shared" si="11"/>
        <v>0</v>
      </c>
      <c r="F52" s="79">
        <f t="shared" si="12"/>
        <v>0</v>
      </c>
      <c r="G52" s="79">
        <f t="shared" si="13"/>
        <v>1</v>
      </c>
      <c r="H52" s="79">
        <f t="shared" si="14"/>
        <v>0</v>
      </c>
      <c r="I52" s="79">
        <f t="shared" si="15"/>
        <v>0</v>
      </c>
      <c r="J52" s="79">
        <f t="shared" si="16"/>
        <v>0</v>
      </c>
      <c r="M52" s="77"/>
      <c r="N52" s="72" t="str">
        <f>IF(Info!J3, "Sum of 8 skinfolds", "Sumatorio de 8 pliegues" )</f>
        <v>Sumatorio de 8 pliegues</v>
      </c>
      <c r="O52" s="103">
        <f>IFERROR(SUM(O18:O25), "-")</f>
        <v>127</v>
      </c>
      <c r="P52" s="104" t="s">
        <v>27</v>
      </c>
      <c r="S52" s="78"/>
    </row>
    <row r="53" spans="2:19" ht="18" customHeight="1" thickBot="1" x14ac:dyDescent="0.25">
      <c r="B53" s="79">
        <f t="shared" si="9"/>
        <v>16</v>
      </c>
      <c r="C53" s="108" t="str">
        <f t="shared" si="9"/>
        <v>PR Caderas ®</v>
      </c>
      <c r="D53" s="79">
        <f t="shared" si="10"/>
        <v>0</v>
      </c>
      <c r="E53" s="79">
        <f t="shared" si="11"/>
        <v>0</v>
      </c>
      <c r="F53" s="79">
        <f t="shared" si="12"/>
        <v>0</v>
      </c>
      <c r="G53" s="79">
        <f t="shared" si="13"/>
        <v>1</v>
      </c>
      <c r="H53" s="79">
        <f t="shared" si="14"/>
        <v>1</v>
      </c>
      <c r="I53" s="79">
        <f t="shared" si="15"/>
        <v>0</v>
      </c>
      <c r="J53" s="79">
        <f t="shared" si="16"/>
        <v>0</v>
      </c>
      <c r="M53" s="77"/>
      <c r="P53" s="18"/>
      <c r="S53" s="78"/>
    </row>
    <row r="54" spans="2:19" ht="18" customHeight="1" thickBot="1" x14ac:dyDescent="0.25">
      <c r="B54" s="79">
        <f t="shared" si="9"/>
        <v>17</v>
      </c>
      <c r="C54" s="108" t="str">
        <f t="shared" si="9"/>
        <v>PR Muslo Medio ®</v>
      </c>
      <c r="D54" s="79">
        <f t="shared" si="10"/>
        <v>0</v>
      </c>
      <c r="E54" s="79">
        <f t="shared" si="11"/>
        <v>0</v>
      </c>
      <c r="F54" s="79">
        <f t="shared" si="12"/>
        <v>0</v>
      </c>
      <c r="G54" s="79">
        <f t="shared" si="13"/>
        <v>1</v>
      </c>
      <c r="H54" s="79">
        <f t="shared" si="14"/>
        <v>1</v>
      </c>
      <c r="I54" s="79">
        <f t="shared" si="15"/>
        <v>0</v>
      </c>
      <c r="J54" s="79">
        <f t="shared" si="16"/>
        <v>0</v>
      </c>
      <c r="M54" s="77"/>
      <c r="N54" s="72" t="str">
        <f>IF(Info!J3, "Sum of 6 skinfolds", "Sumatorio de 6 pliegues" )</f>
        <v>Sumatorio de 6 pliegues</v>
      </c>
      <c r="O54" s="103">
        <f>IFERROR(SUM(O18:O19, O22:O25), "-")</f>
        <v>98</v>
      </c>
      <c r="P54" s="104" t="s">
        <v>27</v>
      </c>
      <c r="S54" s="78"/>
    </row>
    <row r="55" spans="2:19" ht="18" customHeight="1" thickBot="1" x14ac:dyDescent="0.25">
      <c r="B55" s="79">
        <f t="shared" si="9"/>
        <v>18</v>
      </c>
      <c r="C55" s="108" t="str">
        <f t="shared" si="9"/>
        <v>PR Pierna ®</v>
      </c>
      <c r="D55" s="79">
        <f t="shared" si="10"/>
        <v>1</v>
      </c>
      <c r="E55" s="79">
        <f t="shared" si="11"/>
        <v>0</v>
      </c>
      <c r="F55" s="79">
        <f t="shared" si="12"/>
        <v>0</v>
      </c>
      <c r="G55" s="79">
        <f t="shared" si="13"/>
        <v>0</v>
      </c>
      <c r="H55" s="79">
        <f t="shared" si="14"/>
        <v>0</v>
      </c>
      <c r="I55" s="79">
        <f t="shared" si="15"/>
        <v>0</v>
      </c>
      <c r="J55" s="79">
        <f t="shared" si="16"/>
        <v>0</v>
      </c>
      <c r="M55" s="77"/>
      <c r="S55" s="78"/>
    </row>
    <row r="56" spans="2:19" ht="18" customHeight="1" thickBot="1" x14ac:dyDescent="0.25">
      <c r="B56" s="79">
        <f t="shared" si="9"/>
        <v>19</v>
      </c>
      <c r="C56" s="108" t="str">
        <f t="shared" si="9"/>
        <v>D Húmero ®</v>
      </c>
      <c r="D56" s="79">
        <f t="shared" si="10"/>
        <v>1</v>
      </c>
      <c r="E56" s="79">
        <f t="shared" si="11"/>
        <v>0</v>
      </c>
      <c r="F56" s="79">
        <f t="shared" si="12"/>
        <v>0</v>
      </c>
      <c r="G56" s="79">
        <f t="shared" si="13"/>
        <v>0</v>
      </c>
      <c r="H56" s="79">
        <f t="shared" si="14"/>
        <v>0</v>
      </c>
      <c r="I56" s="79">
        <f t="shared" si="15"/>
        <v>0</v>
      </c>
      <c r="J56" s="79">
        <f t="shared" si="16"/>
        <v>0</v>
      </c>
      <c r="M56" s="77"/>
      <c r="N56" s="281" t="str">
        <f>IF(Info!J3, "4 Compartment Body Composition", "Composición Corporal 4 Componentes")</f>
        <v>Composición Corporal 4 Componentes</v>
      </c>
      <c r="O56" s="282"/>
      <c r="P56" s="282"/>
      <c r="Q56" s="199"/>
      <c r="S56" s="78"/>
    </row>
    <row r="57" spans="2:19" ht="18" customHeight="1" thickBot="1" x14ac:dyDescent="0.25">
      <c r="B57" s="79">
        <f t="shared" si="9"/>
        <v>20</v>
      </c>
      <c r="C57" s="108" t="str">
        <f t="shared" si="9"/>
        <v>D Biestiloideo ®</v>
      </c>
      <c r="D57" s="79">
        <f t="shared" si="10"/>
        <v>0</v>
      </c>
      <c r="E57" s="79">
        <f t="shared" si="11"/>
        <v>0</v>
      </c>
      <c r="F57" s="79">
        <f t="shared" si="12"/>
        <v>1</v>
      </c>
      <c r="G57" s="79">
        <f t="shared" si="13"/>
        <v>1</v>
      </c>
      <c r="H57" s="79">
        <f t="shared" si="14"/>
        <v>1</v>
      </c>
      <c r="I57" s="79">
        <f t="shared" si="15"/>
        <v>0</v>
      </c>
      <c r="J57" s="79">
        <f t="shared" si="16"/>
        <v>0</v>
      </c>
      <c r="M57" s="77"/>
      <c r="N57" s="55"/>
      <c r="O57" s="72" t="str">
        <f>IF(Info!J3, "Percentage", "Porcentaje")</f>
        <v>Porcentaje</v>
      </c>
      <c r="P57" s="72" t="str">
        <f>IF(Info!J3, "Real Mass", "Masa Real")</f>
        <v>Masa Real</v>
      </c>
      <c r="S57" s="78"/>
    </row>
    <row r="58" spans="2:19" ht="18" customHeight="1" x14ac:dyDescent="0.2">
      <c r="B58" s="79">
        <f t="shared" si="9"/>
        <v>21</v>
      </c>
      <c r="C58" s="108" t="str">
        <f t="shared" si="9"/>
        <v>D Fémur ®</v>
      </c>
      <c r="D58" s="79">
        <f t="shared" si="10"/>
        <v>0</v>
      </c>
      <c r="E58" s="79">
        <f t="shared" si="11"/>
        <v>0</v>
      </c>
      <c r="F58" s="79">
        <f t="shared" si="12"/>
        <v>1</v>
      </c>
      <c r="G58" s="79">
        <f t="shared" si="13"/>
        <v>1</v>
      </c>
      <c r="H58" s="79">
        <f t="shared" si="14"/>
        <v>1</v>
      </c>
      <c r="I58" s="79">
        <f t="shared" si="15"/>
        <v>0</v>
      </c>
      <c r="J58" s="79">
        <f t="shared" si="16"/>
        <v>0</v>
      </c>
      <c r="M58" s="77"/>
      <c r="N58" s="206" t="str">
        <f>IF(Info!J3, "Muscle Mass - Lee", "Masa Muscular - Lee")</f>
        <v>Masa Muscular - Lee</v>
      </c>
      <c r="O58" s="207">
        <f>IFERROR(P58/O14, "-")</f>
        <v>0.33235972536799863</v>
      </c>
      <c r="P58" s="208">
        <f>IFERROR(O15/100*(0.00744*O35^2+0.00088*O36^2+0.00441*O37^2)+(2.4*(IF(O7=1,1,0)))-0.048*((O9-O10)/365.25)+IF(O6="1",-2,IF(O6="2",1.1,0))+7.8, "-")</f>
        <v>18.013897114945525</v>
      </c>
      <c r="S58" s="78"/>
    </row>
    <row r="59" spans="2:19" ht="18" customHeight="1" x14ac:dyDescent="0.2">
      <c r="B59" s="79" t="s">
        <v>44</v>
      </c>
      <c r="C59" s="108" t="s">
        <v>45</v>
      </c>
      <c r="D59" s="79">
        <f t="shared" ref="D59:J59" si="17">SUM(D38:D58)</f>
        <v>11</v>
      </c>
      <c r="E59" s="79">
        <f t="shared" si="17"/>
        <v>0</v>
      </c>
      <c r="F59" s="79">
        <f t="shared" si="17"/>
        <v>3</v>
      </c>
      <c r="G59" s="79">
        <f t="shared" si="17"/>
        <v>12</v>
      </c>
      <c r="H59" s="79">
        <f t="shared" si="17"/>
        <v>10</v>
      </c>
      <c r="I59" s="79">
        <f t="shared" si="17"/>
        <v>0</v>
      </c>
      <c r="J59" s="79">
        <f t="shared" si="17"/>
        <v>0</v>
      </c>
      <c r="M59" s="77"/>
      <c r="N59" s="209" t="str">
        <f>IF(Info!J3, "Bone Mass - Rocha", "Masa Ósea - Rocha")</f>
        <v>Masa Ósea - Rocha</v>
      </c>
      <c r="O59" s="210">
        <f>IFERROR(P59/O14, "-")</f>
        <v>0.22216095951476209</v>
      </c>
      <c r="P59" s="211">
        <f>IFERROR(3.02*(((O15/100)^2)*(O33/100)*(O34/100)*400)^0.712, "-")</f>
        <v>12.041124005700105</v>
      </c>
      <c r="R59" s="53"/>
      <c r="S59" s="78"/>
    </row>
    <row r="60" spans="2:19" ht="18" customHeight="1" x14ac:dyDescent="0.2">
      <c r="B60" s="79"/>
      <c r="C60" s="108"/>
      <c r="D60" s="79"/>
      <c r="E60" s="79"/>
      <c r="F60" s="79"/>
      <c r="G60" s="79"/>
      <c r="H60" s="79"/>
      <c r="I60" s="79"/>
      <c r="J60" s="79"/>
      <c r="M60" s="77"/>
      <c r="N60" s="212" t="str">
        <f>IF(Info!J3, "Residual Mass", "Masa Residual")</f>
        <v>Masa Residual</v>
      </c>
      <c r="O60" s="213">
        <f>IFERROR(1-O58-O61-O59, "-")</f>
        <v>0.13080366874739499</v>
      </c>
      <c r="P60" s="214">
        <f>IFERROR(O14-P58-P61-P59, "-")</f>
        <v>7.0895588461088153</v>
      </c>
      <c r="R60" s="53"/>
      <c r="S60" s="78"/>
    </row>
    <row r="61" spans="2:19" ht="18" customHeight="1" thickBot="1" x14ac:dyDescent="0.25">
      <c r="B61" s="79">
        <f t="shared" ref="B61:C81" si="18">B14</f>
        <v>1</v>
      </c>
      <c r="C61" s="108" t="str">
        <f t="shared" si="18"/>
        <v>Masa Corporal ®</v>
      </c>
      <c r="D61" s="79">
        <f t="shared" ref="D61:D81" si="19">ABS(D14-E14)</f>
        <v>0</v>
      </c>
      <c r="E61" s="79">
        <f t="shared" ref="E61:E81" si="20">ABS(F14-D14)</f>
        <v>54.2</v>
      </c>
      <c r="F61" s="79">
        <f t="shared" ref="F61:F81" si="21">ABS(E14-F14)</f>
        <v>54.2</v>
      </c>
      <c r="G61" s="109">
        <f t="shared" ref="G61:G81" si="22">IF(D61=MIN(D61:F61), D14, IF(E61=MIN(D61:F61), D14, E14))</f>
        <v>54.2</v>
      </c>
      <c r="H61" s="109">
        <f t="shared" ref="H61:H81" si="23">IF(D61=MIN(D61:F61), E14, IF(E61=MIN(D61:F61), F14, F14))</f>
        <v>54.2</v>
      </c>
      <c r="I61" s="79"/>
      <c r="J61" s="79"/>
      <c r="M61" s="77"/>
      <c r="N61" s="215" t="str">
        <f>IF(Info!J3, "Adipose Mass - Kerr", "Masa Adiposa - Kerr")</f>
        <v>Masa Adiposa - Kerr</v>
      </c>
      <c r="O61" s="216">
        <f>IFERROR(P61/O14, "-")</f>
        <v>0.3146756463698443</v>
      </c>
      <c r="P61" s="217">
        <f>IFERROR((((((O54*(170.18/O15)-116.41)/34.79)*5.85)+25.6)/(170.18/O15)^3), "-")</f>
        <v>17.055420033245561</v>
      </c>
      <c r="S61" s="78"/>
    </row>
    <row r="62" spans="2:19" ht="18" customHeight="1" x14ac:dyDescent="0.2">
      <c r="B62" s="79">
        <f t="shared" si="18"/>
        <v>2</v>
      </c>
      <c r="C62" s="108" t="str">
        <f t="shared" si="18"/>
        <v>Talla ®</v>
      </c>
      <c r="D62" s="79">
        <f t="shared" si="19"/>
        <v>0</v>
      </c>
      <c r="E62" s="79">
        <f t="shared" si="20"/>
        <v>150.5</v>
      </c>
      <c r="F62" s="79">
        <f t="shared" si="21"/>
        <v>150.5</v>
      </c>
      <c r="G62" s="109">
        <f t="shared" si="22"/>
        <v>150.5</v>
      </c>
      <c r="H62" s="109">
        <f t="shared" si="23"/>
        <v>150.5</v>
      </c>
      <c r="I62" s="79"/>
      <c r="J62" s="79"/>
      <c r="M62" s="77"/>
      <c r="N62" s="200" t="str">
        <f>IF(Info!J3, "Fat Mass - Faulkner", "Masa Grasa - Faulkner")</f>
        <v>Masa Grasa - Faulkner</v>
      </c>
      <c r="O62" s="201">
        <f>IFERROR(IF(O7=1, 0.153*(O18+O19+O22+O23)+5.783, 0.213*(O18+O19+O22+O23)+7.9)/100, "-")</f>
        <v>0.19827999999999998</v>
      </c>
      <c r="P62" s="202">
        <f>IFERROR(O14*O62, "-")</f>
        <v>10.746776000000001</v>
      </c>
      <c r="S62" s="78"/>
    </row>
    <row r="63" spans="2:19" ht="18" customHeight="1" thickBot="1" x14ac:dyDescent="0.25">
      <c r="B63" s="79">
        <f t="shared" si="18"/>
        <v>3</v>
      </c>
      <c r="C63" s="108" t="str">
        <f t="shared" si="18"/>
        <v>Talla Sentado ®</v>
      </c>
      <c r="D63" s="79">
        <f t="shared" si="19"/>
        <v>0</v>
      </c>
      <c r="E63" s="79">
        <f t="shared" si="20"/>
        <v>82.5</v>
      </c>
      <c r="F63" s="79">
        <f t="shared" si="21"/>
        <v>82.5</v>
      </c>
      <c r="G63" s="109">
        <f t="shared" si="22"/>
        <v>82.5</v>
      </c>
      <c r="H63" s="109">
        <f t="shared" si="23"/>
        <v>82.5</v>
      </c>
      <c r="I63" s="79"/>
      <c r="J63" s="79"/>
      <c r="M63" s="77"/>
      <c r="N63" s="203" t="str">
        <f>IF(Info!J3, "Fat Mass - Carter", "Masa Grasa - Carter")</f>
        <v>Masa Grasa - Carter</v>
      </c>
      <c r="O63" s="204">
        <f>IFERROR(IF(O54=0, "-", IF(O7=1, 0.1051*(O54)+2.58, 0.1548*(O54)+3.58)/100), "-")</f>
        <v>0.187504</v>
      </c>
      <c r="P63" s="205">
        <f>IFERROR(O14*O63, "-")</f>
        <v>10.1627168</v>
      </c>
      <c r="S63" s="78"/>
    </row>
    <row r="64" spans="2:19" ht="18" customHeight="1" thickBot="1" x14ac:dyDescent="0.25">
      <c r="B64" s="79">
        <f t="shared" si="18"/>
        <v>4</v>
      </c>
      <c r="C64" s="108" t="str">
        <f t="shared" si="18"/>
        <v>Envergadura de Brazos ®</v>
      </c>
      <c r="D64" s="79">
        <f t="shared" si="19"/>
        <v>0</v>
      </c>
      <c r="E64" s="79">
        <f t="shared" si="20"/>
        <v>152.5</v>
      </c>
      <c r="F64" s="79">
        <f t="shared" si="21"/>
        <v>152.5</v>
      </c>
      <c r="G64" s="109">
        <f t="shared" si="22"/>
        <v>152.5</v>
      </c>
      <c r="H64" s="109">
        <f t="shared" si="23"/>
        <v>152.5</v>
      </c>
      <c r="I64" s="79"/>
      <c r="J64" s="79"/>
      <c r="M64" s="77"/>
      <c r="N64" s="72" t="str">
        <f>IF(Info!J3, "Total Mass", "Masa Total")</f>
        <v>Masa Total</v>
      </c>
      <c r="O64" s="106">
        <f>IFERROR(SUM(O58:O61), "-")</f>
        <v>1</v>
      </c>
      <c r="P64" s="107">
        <f>IFERROR(SUM(P58:P61), "-")</f>
        <v>54.20000000000001</v>
      </c>
      <c r="R64" s="53"/>
      <c r="S64" s="78"/>
    </row>
    <row r="65" spans="2:19" ht="18" customHeight="1" thickBot="1" x14ac:dyDescent="0.25">
      <c r="B65" s="79">
        <f t="shared" si="18"/>
        <v>5</v>
      </c>
      <c r="C65" s="108" t="str">
        <f t="shared" si="18"/>
        <v>PL Tríceps ®</v>
      </c>
      <c r="D65" s="79">
        <f t="shared" si="19"/>
        <v>3</v>
      </c>
      <c r="E65" s="79">
        <f t="shared" si="20"/>
        <v>2</v>
      </c>
      <c r="F65" s="79">
        <f t="shared" si="21"/>
        <v>1</v>
      </c>
      <c r="G65" s="109">
        <f t="shared" si="22"/>
        <v>18</v>
      </c>
      <c r="H65" s="109">
        <f t="shared" si="23"/>
        <v>17</v>
      </c>
      <c r="I65" s="79"/>
      <c r="J65" s="79"/>
      <c r="M65" s="218"/>
      <c r="N65" s="219"/>
      <c r="O65" s="219"/>
      <c r="P65" s="219"/>
      <c r="Q65" s="219"/>
      <c r="R65" s="220"/>
      <c r="S65" s="221"/>
    </row>
    <row r="66" spans="2:19" ht="18" customHeight="1" thickTop="1" x14ac:dyDescent="0.2">
      <c r="B66" s="79">
        <f t="shared" si="18"/>
        <v>6</v>
      </c>
      <c r="C66" s="108" t="str">
        <f t="shared" si="18"/>
        <v>PL Subescapular ®</v>
      </c>
      <c r="D66" s="79">
        <f t="shared" si="19"/>
        <v>3</v>
      </c>
      <c r="E66" s="79">
        <f t="shared" si="20"/>
        <v>10</v>
      </c>
      <c r="F66" s="79">
        <f t="shared" si="21"/>
        <v>7</v>
      </c>
      <c r="G66" s="109">
        <f t="shared" si="22"/>
        <v>14</v>
      </c>
      <c r="H66" s="109">
        <f t="shared" si="23"/>
        <v>17</v>
      </c>
      <c r="I66" s="79"/>
      <c r="J66" s="79"/>
      <c r="M66" s="197"/>
      <c r="N66" s="197"/>
      <c r="O66" s="197"/>
      <c r="P66" s="197"/>
      <c r="Q66" s="197"/>
      <c r="R66" s="198"/>
      <c r="S66" s="197"/>
    </row>
    <row r="67" spans="2:19" ht="18" customHeight="1" x14ac:dyDescent="0.2">
      <c r="B67" s="79">
        <f t="shared" si="18"/>
        <v>7</v>
      </c>
      <c r="C67" s="108" t="str">
        <f t="shared" si="18"/>
        <v>PL Bíceps ®</v>
      </c>
      <c r="D67" s="79">
        <f t="shared" si="19"/>
        <v>6</v>
      </c>
      <c r="E67" s="79">
        <f t="shared" si="20"/>
        <v>6</v>
      </c>
      <c r="F67" s="79">
        <f t="shared" si="21"/>
        <v>0</v>
      </c>
      <c r="G67" s="109">
        <f t="shared" si="22"/>
        <v>14</v>
      </c>
      <c r="H67" s="109">
        <f t="shared" si="23"/>
        <v>14</v>
      </c>
      <c r="I67" s="79"/>
      <c r="J67" s="79"/>
      <c r="R67" s="53"/>
    </row>
    <row r="68" spans="2:19" ht="18" customHeight="1" x14ac:dyDescent="0.2">
      <c r="B68" s="79">
        <f t="shared" si="18"/>
        <v>8</v>
      </c>
      <c r="C68" s="108" t="str">
        <f t="shared" si="18"/>
        <v>PL Cresta Ilíaca ®</v>
      </c>
      <c r="D68" s="79">
        <f t="shared" si="19"/>
        <v>2</v>
      </c>
      <c r="E68" s="79">
        <f t="shared" si="20"/>
        <v>1</v>
      </c>
      <c r="F68" s="79">
        <f t="shared" si="21"/>
        <v>1</v>
      </c>
      <c r="G68" s="109">
        <f t="shared" si="22"/>
        <v>14</v>
      </c>
      <c r="H68" s="109">
        <f t="shared" si="23"/>
        <v>15</v>
      </c>
      <c r="I68" s="79"/>
      <c r="J68" s="79"/>
    </row>
    <row r="69" spans="2:19" ht="18" customHeight="1" x14ac:dyDescent="0.2">
      <c r="B69" s="79">
        <f t="shared" si="18"/>
        <v>9</v>
      </c>
      <c r="C69" s="108" t="str">
        <f t="shared" si="18"/>
        <v>PL Supraespinal ®</v>
      </c>
      <c r="D69" s="79">
        <f t="shared" si="19"/>
        <v>1</v>
      </c>
      <c r="E69" s="79">
        <f t="shared" si="20"/>
        <v>2</v>
      </c>
      <c r="F69" s="79">
        <f t="shared" si="21"/>
        <v>1</v>
      </c>
      <c r="G69" s="109">
        <f t="shared" si="22"/>
        <v>11</v>
      </c>
      <c r="H69" s="109">
        <f t="shared" si="23"/>
        <v>10</v>
      </c>
      <c r="I69" s="79"/>
      <c r="J69" s="79"/>
    </row>
    <row r="70" spans="2:19" ht="18" customHeight="1" x14ac:dyDescent="0.2">
      <c r="B70" s="79">
        <f t="shared" si="18"/>
        <v>10</v>
      </c>
      <c r="C70" s="108" t="str">
        <f t="shared" si="18"/>
        <v>PL Abdominal ®</v>
      </c>
      <c r="D70" s="79">
        <f t="shared" si="19"/>
        <v>0</v>
      </c>
      <c r="E70" s="79">
        <f t="shared" si="20"/>
        <v>12</v>
      </c>
      <c r="F70" s="79">
        <f t="shared" si="21"/>
        <v>12</v>
      </c>
      <c r="G70" s="109">
        <f t="shared" si="22"/>
        <v>12</v>
      </c>
      <c r="H70" s="109">
        <f t="shared" si="23"/>
        <v>12</v>
      </c>
      <c r="I70" s="79"/>
      <c r="J70" s="79"/>
    </row>
    <row r="71" spans="2:19" ht="18" customHeight="1" x14ac:dyDescent="0.2">
      <c r="B71" s="79">
        <f t="shared" si="18"/>
        <v>11</v>
      </c>
      <c r="C71" s="108" t="str">
        <f t="shared" si="18"/>
        <v>PL Muslo ®</v>
      </c>
      <c r="D71" s="79">
        <f t="shared" si="19"/>
        <v>4</v>
      </c>
      <c r="E71" s="79">
        <f t="shared" si="20"/>
        <v>3</v>
      </c>
      <c r="F71" s="79">
        <f t="shared" si="21"/>
        <v>1</v>
      </c>
      <c r="G71" s="109">
        <f t="shared" si="22"/>
        <v>31</v>
      </c>
      <c r="H71" s="109">
        <f t="shared" si="23"/>
        <v>30</v>
      </c>
      <c r="I71" s="79"/>
      <c r="J71" s="79"/>
    </row>
    <row r="72" spans="2:19" ht="18" customHeight="1" x14ac:dyDescent="0.2">
      <c r="B72" s="79">
        <f t="shared" si="18"/>
        <v>12</v>
      </c>
      <c r="C72" s="108" t="str">
        <f t="shared" si="18"/>
        <v>PL Pierna ®</v>
      </c>
      <c r="D72" s="79">
        <f t="shared" si="19"/>
        <v>0</v>
      </c>
      <c r="E72" s="79">
        <f t="shared" si="20"/>
        <v>12</v>
      </c>
      <c r="F72" s="79">
        <f t="shared" si="21"/>
        <v>12</v>
      </c>
      <c r="G72" s="109">
        <f t="shared" si="22"/>
        <v>12</v>
      </c>
      <c r="H72" s="109">
        <f t="shared" si="23"/>
        <v>12</v>
      </c>
      <c r="I72" s="79"/>
      <c r="J72" s="79"/>
    </row>
    <row r="73" spans="2:19" ht="18" customHeight="1" x14ac:dyDescent="0.2">
      <c r="B73" s="79">
        <f t="shared" si="18"/>
        <v>13</v>
      </c>
      <c r="C73" s="108" t="str">
        <f t="shared" si="18"/>
        <v>PR Brazo Relajado ®</v>
      </c>
      <c r="D73" s="79">
        <f t="shared" si="19"/>
        <v>0</v>
      </c>
      <c r="E73" s="79" t="e">
        <f t="shared" si="20"/>
        <v>#VALUE!</v>
      </c>
      <c r="F73" s="79" t="e">
        <f t="shared" si="21"/>
        <v>#VALUE!</v>
      </c>
      <c r="G73" s="109" t="e">
        <f t="shared" si="22"/>
        <v>#VALUE!</v>
      </c>
      <c r="H73" s="109" t="e">
        <f t="shared" si="23"/>
        <v>#VALUE!</v>
      </c>
      <c r="I73" s="79"/>
      <c r="J73" s="79"/>
    </row>
    <row r="74" spans="2:19" ht="18" customHeight="1" x14ac:dyDescent="0.2">
      <c r="B74" s="79">
        <f t="shared" si="18"/>
        <v>14</v>
      </c>
      <c r="C74" s="108" t="str">
        <f t="shared" si="18"/>
        <v>PR Brazo Flexionado y Contraído ®</v>
      </c>
      <c r="D74" s="79">
        <f t="shared" si="19"/>
        <v>0</v>
      </c>
      <c r="E74" s="79">
        <f t="shared" si="20"/>
        <v>27</v>
      </c>
      <c r="F74" s="79">
        <f t="shared" si="21"/>
        <v>27</v>
      </c>
      <c r="G74" s="109">
        <f t="shared" si="22"/>
        <v>27</v>
      </c>
      <c r="H74" s="109">
        <f t="shared" si="23"/>
        <v>27</v>
      </c>
      <c r="I74" s="79"/>
      <c r="J74" s="79"/>
    </row>
    <row r="75" spans="2:19" ht="18" customHeight="1" x14ac:dyDescent="0.2">
      <c r="B75" s="79">
        <f t="shared" si="18"/>
        <v>15</v>
      </c>
      <c r="C75" s="108" t="str">
        <f t="shared" si="18"/>
        <v>PR Cintura ®</v>
      </c>
      <c r="D75" s="79">
        <f t="shared" si="19"/>
        <v>0</v>
      </c>
      <c r="E75" s="79" t="e">
        <f t="shared" si="20"/>
        <v>#VALUE!</v>
      </c>
      <c r="F75" s="79" t="e">
        <f t="shared" si="21"/>
        <v>#VALUE!</v>
      </c>
      <c r="G75" s="109" t="e">
        <f t="shared" si="22"/>
        <v>#VALUE!</v>
      </c>
      <c r="H75" s="109" t="e">
        <f t="shared" si="23"/>
        <v>#VALUE!</v>
      </c>
      <c r="I75" s="79"/>
      <c r="J75" s="79"/>
    </row>
    <row r="76" spans="2:19" ht="18" customHeight="1" x14ac:dyDescent="0.2">
      <c r="B76" s="79">
        <f t="shared" si="18"/>
        <v>16</v>
      </c>
      <c r="C76" s="108" t="str">
        <f t="shared" si="18"/>
        <v>PR Caderas ®</v>
      </c>
      <c r="D76" s="79">
        <f t="shared" si="19"/>
        <v>1</v>
      </c>
      <c r="E76" s="79" t="e">
        <f t="shared" si="20"/>
        <v>#VALUE!</v>
      </c>
      <c r="F76" s="79" t="e">
        <f t="shared" si="21"/>
        <v>#VALUE!</v>
      </c>
      <c r="G76" s="109" t="e">
        <f t="shared" si="22"/>
        <v>#VALUE!</v>
      </c>
      <c r="H76" s="109" t="e">
        <f t="shared" si="23"/>
        <v>#VALUE!</v>
      </c>
      <c r="I76" s="79"/>
      <c r="J76" s="79"/>
    </row>
    <row r="77" spans="2:19" ht="18" customHeight="1" x14ac:dyDescent="0.2">
      <c r="B77" s="79">
        <f t="shared" si="18"/>
        <v>17</v>
      </c>
      <c r="C77" s="108" t="str">
        <f t="shared" si="18"/>
        <v>PR Muslo Medio ®</v>
      </c>
      <c r="D77" s="79">
        <f t="shared" si="19"/>
        <v>0.5</v>
      </c>
      <c r="E77" s="79" t="e">
        <f t="shared" si="20"/>
        <v>#VALUE!</v>
      </c>
      <c r="F77" s="79" t="e">
        <f t="shared" si="21"/>
        <v>#VALUE!</v>
      </c>
      <c r="G77" s="109" t="e">
        <f t="shared" si="22"/>
        <v>#VALUE!</v>
      </c>
      <c r="H77" s="109" t="e">
        <f t="shared" si="23"/>
        <v>#VALUE!</v>
      </c>
      <c r="I77" s="79"/>
      <c r="J77" s="79"/>
    </row>
    <row r="78" spans="2:19" ht="18" customHeight="1" x14ac:dyDescent="0.2">
      <c r="B78" s="79">
        <f t="shared" si="18"/>
        <v>18</v>
      </c>
      <c r="C78" s="108" t="str">
        <f t="shared" si="18"/>
        <v>PR Pierna ®</v>
      </c>
      <c r="D78" s="79">
        <f t="shared" si="19"/>
        <v>0</v>
      </c>
      <c r="E78" s="79">
        <f t="shared" si="20"/>
        <v>32</v>
      </c>
      <c r="F78" s="79">
        <f t="shared" si="21"/>
        <v>32</v>
      </c>
      <c r="G78" s="109">
        <f t="shared" si="22"/>
        <v>32</v>
      </c>
      <c r="H78" s="109">
        <f t="shared" si="23"/>
        <v>32</v>
      </c>
      <c r="I78" s="79"/>
      <c r="J78" s="79"/>
    </row>
    <row r="79" spans="2:19" ht="18" customHeight="1" x14ac:dyDescent="0.2">
      <c r="B79" s="79">
        <f t="shared" si="18"/>
        <v>19</v>
      </c>
      <c r="C79" s="108" t="str">
        <f t="shared" si="18"/>
        <v>D Húmero ®</v>
      </c>
      <c r="D79" s="79">
        <f t="shared" si="19"/>
        <v>0</v>
      </c>
      <c r="E79" s="79">
        <f t="shared" si="20"/>
        <v>8.8000000000000007</v>
      </c>
      <c r="F79" s="79">
        <f t="shared" si="21"/>
        <v>8.8000000000000007</v>
      </c>
      <c r="G79" s="109">
        <f t="shared" si="22"/>
        <v>8.8000000000000007</v>
      </c>
      <c r="H79" s="109">
        <f t="shared" si="23"/>
        <v>8.8000000000000007</v>
      </c>
      <c r="I79" s="79"/>
      <c r="J79" s="79"/>
    </row>
    <row r="80" spans="2:19" ht="18" customHeight="1" x14ac:dyDescent="0.2">
      <c r="B80" s="79">
        <f t="shared" si="18"/>
        <v>20</v>
      </c>
      <c r="C80" s="108" t="str">
        <f t="shared" si="18"/>
        <v>D Biestiloideo ®</v>
      </c>
      <c r="D80" s="79">
        <f t="shared" si="19"/>
        <v>0.90000000000000036</v>
      </c>
      <c r="E80" s="79">
        <f t="shared" si="20"/>
        <v>0.90000000000000036</v>
      </c>
      <c r="F80" s="79">
        <f t="shared" si="21"/>
        <v>0</v>
      </c>
      <c r="G80" s="109">
        <f t="shared" si="22"/>
        <v>7</v>
      </c>
      <c r="H80" s="109">
        <f t="shared" si="23"/>
        <v>7</v>
      </c>
      <c r="I80" s="79"/>
      <c r="J80" s="79"/>
    </row>
    <row r="81" spans="2:10" ht="18" customHeight="1" x14ac:dyDescent="0.2">
      <c r="B81" s="79">
        <f t="shared" si="18"/>
        <v>21</v>
      </c>
      <c r="C81" s="108" t="str">
        <f t="shared" si="18"/>
        <v>D Fémur ®</v>
      </c>
      <c r="D81" s="79">
        <f t="shared" si="19"/>
        <v>1</v>
      </c>
      <c r="E81" s="79">
        <f t="shared" si="20"/>
        <v>1</v>
      </c>
      <c r="F81" s="79">
        <f t="shared" si="21"/>
        <v>0</v>
      </c>
      <c r="G81" s="109">
        <f t="shared" si="22"/>
        <v>11</v>
      </c>
      <c r="H81" s="109">
        <f t="shared" si="23"/>
        <v>11</v>
      </c>
      <c r="I81" s="79"/>
      <c r="J81" s="79"/>
    </row>
    <row r="82" spans="2:10" x14ac:dyDescent="0.2">
      <c r="B82" s="79"/>
      <c r="C82" s="108"/>
      <c r="D82" s="79"/>
      <c r="E82" s="79"/>
      <c r="F82" s="79"/>
      <c r="G82" s="79"/>
      <c r="H82" s="79"/>
      <c r="I82" s="79"/>
      <c r="J82" s="79"/>
    </row>
  </sheetData>
  <sheetProtection algorithmName="SHA-512" hashValue="W3OI3h8vn/IZwyQ/jNda5FU7yi3wsQdXQBEFEy4/Q3mubdd3LukFeU5LU/0GBvXKR8/2U/rNE1neFI5Ml6nNlg==" saltValue="ZjqhCux/JqoasPJVJZPLWw==" spinCount="100000" sheet="1" objects="1" scenarios="1" selectLockedCells="1"/>
  <mergeCells count="30">
    <mergeCell ref="O48:P48"/>
    <mergeCell ref="O50:P50"/>
    <mergeCell ref="O44:P44"/>
    <mergeCell ref="O43:P43"/>
    <mergeCell ref="N56:P56"/>
    <mergeCell ref="O42:P42"/>
    <mergeCell ref="O41:P41"/>
    <mergeCell ref="O40:P40"/>
    <mergeCell ref="O6:Q6"/>
    <mergeCell ref="O5:Q5"/>
    <mergeCell ref="N39:P39"/>
    <mergeCell ref="Q12:R12"/>
    <mergeCell ref="O10:Q10"/>
    <mergeCell ref="O9:Q9"/>
    <mergeCell ref="O8:Q8"/>
    <mergeCell ref="O7:Q7"/>
    <mergeCell ref="C1:K1"/>
    <mergeCell ref="M1:S1"/>
    <mergeCell ref="D7:F7"/>
    <mergeCell ref="D6:F6"/>
    <mergeCell ref="D5:F5"/>
    <mergeCell ref="D4:F4"/>
    <mergeCell ref="D3:F3"/>
    <mergeCell ref="O4:Q4"/>
    <mergeCell ref="O3:Q3"/>
    <mergeCell ref="D10:F10"/>
    <mergeCell ref="D9:F9"/>
    <mergeCell ref="D8:F8"/>
    <mergeCell ref="H13:I13"/>
    <mergeCell ref="K12:K13"/>
  </mergeCells>
  <conditionalFormatting sqref="D3:F10">
    <cfRule type="containsBlanks" dxfId="101" priority="2">
      <formula>LEN(TRIM(D3))=0</formula>
    </cfRule>
  </conditionalFormatting>
  <conditionalFormatting sqref="D14:F34">
    <cfRule type="containsBlanks" dxfId="100" priority="6">
      <formula>LEN(TRIM(D14))=0</formula>
    </cfRule>
  </conditionalFormatting>
  <conditionalFormatting sqref="F14:F34">
    <cfRule type="expression" dxfId="99" priority="5">
      <formula>I14="No"</formula>
    </cfRule>
  </conditionalFormatting>
  <conditionalFormatting sqref="I14:I34">
    <cfRule type="expression" dxfId="98" priority="3">
      <formula>F14&lt;&gt;""</formula>
    </cfRule>
    <cfRule type="containsText" dxfId="97" priority="4" operator="containsText" text="Yes">
      <formula>NOT(ISERROR(SEARCH("Yes",I14)))</formula>
    </cfRule>
  </conditionalFormatting>
  <dataValidations count="2">
    <dataValidation type="list" allowBlank="1" showInputMessage="1" showErrorMessage="1" sqref="D6:F6" xr:uid="{4B102660-447B-A345-B458-DEB43DED7461}">
      <formula1>"1, 2, 3"</formula1>
    </dataValidation>
    <dataValidation type="list" allowBlank="1" showInputMessage="1" showErrorMessage="1" sqref="D7:F7" xr:uid="{70814175-390D-AC48-8E62-95CB975BF3A0}">
      <formula1>"1, 2"</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FB53DB-D386-254C-ABB2-CFB8188DD810}">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PsfP02/QmxLZNYaG0sinFnjfABzM0c/9d2ZeIUspcQOpSpci2veZlH4cUqGmutaTgTI49zOt3iYVIAm+9+UjdQ==" saltValue="a+8eG+FTyqGOuQCIaz529g==" spinCount="100000" sheet="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11" priority="1">
      <formula>LEN(TRIM(D3))=0</formula>
    </cfRule>
  </conditionalFormatting>
  <conditionalFormatting sqref="D14:F34">
    <cfRule type="containsBlanks" dxfId="10" priority="5">
      <formula>LEN(TRIM(D14))=0</formula>
    </cfRule>
  </conditionalFormatting>
  <conditionalFormatting sqref="F14:F34">
    <cfRule type="expression" dxfId="9" priority="4">
      <formula>I14="No"</formula>
    </cfRule>
  </conditionalFormatting>
  <conditionalFormatting sqref="I14:I34">
    <cfRule type="expression" dxfId="8" priority="2">
      <formula>F14&lt;&gt;""</formula>
    </cfRule>
    <cfRule type="containsText" dxfId="7" priority="3" operator="containsText" text="Yes">
      <formula>NOT(ISERROR(SEARCH("Yes",I14)))</formula>
    </cfRule>
  </conditionalFormatting>
  <dataValidations count="2">
    <dataValidation type="list" allowBlank="1" showInputMessage="1" showErrorMessage="1" sqref="D7:F7" xr:uid="{95C0511C-B550-A14E-AC92-A7408BBFC03B}">
      <formula1>"1, 2"</formula1>
    </dataValidation>
    <dataValidation type="list" allowBlank="1" showInputMessage="1" showErrorMessage="1" sqref="D6:F6" xr:uid="{1F76EF9D-C5D3-864C-84DD-375939912029}">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4CBFF0-3DEB-2848-BBDE-7E93356FB6D2}">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WR222EUtMMi/UPAyr60885uQlkZhQVxkfctQ+kCqsITKDoSi2BP3cNP2mCSnEUVVxk6BXHmI8VN9Osxyv7stQw==" saltValue="mtiT1d4hMPPuKkrxlw+QlA=="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6" priority="1">
      <formula>LEN(TRIM(D3))=0</formula>
    </cfRule>
  </conditionalFormatting>
  <conditionalFormatting sqref="D14:F34">
    <cfRule type="containsBlanks" dxfId="5" priority="5">
      <formula>LEN(TRIM(D14))=0</formula>
    </cfRule>
  </conditionalFormatting>
  <conditionalFormatting sqref="F14:F34">
    <cfRule type="expression" dxfId="4" priority="4">
      <formula>I14="No"</formula>
    </cfRule>
  </conditionalFormatting>
  <conditionalFormatting sqref="I14:I34">
    <cfRule type="expression" dxfId="3" priority="2">
      <formula>F14&lt;&gt;""</formula>
    </cfRule>
    <cfRule type="containsText" dxfId="2" priority="3" operator="containsText" text="Yes">
      <formula>NOT(ISERROR(SEARCH("Yes",I14)))</formula>
    </cfRule>
  </conditionalFormatting>
  <dataValidations count="2">
    <dataValidation type="list" allowBlank="1" showInputMessage="1" showErrorMessage="1" sqref="D7:F7" xr:uid="{AD96FAF1-1D38-2B40-BA72-A4B4E4425F1C}">
      <formula1>"1, 2"</formula1>
    </dataValidation>
    <dataValidation type="list" allowBlank="1" showInputMessage="1" showErrorMessage="1" sqref="D6:F6" xr:uid="{976E791D-4185-DE43-91EB-3E93EEC04F0C}">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5"/>
  <dimension ref="A1:AT103"/>
  <sheetViews>
    <sheetView showGridLines="0" zoomScale="68" workbookViewId="0">
      <selection activeCell="B1" sqref="B1:AT1"/>
    </sheetView>
  </sheetViews>
  <sheetFormatPr baseColWidth="10" defaultColWidth="9.140625" defaultRowHeight="12.75" x14ac:dyDescent="0.2"/>
  <cols>
    <col min="1" max="1" width="3.28515625" style="9" customWidth="1"/>
    <col min="2" max="2" width="4.28515625" style="9" customWidth="1"/>
    <col min="3" max="3" width="27.42578125" style="18" bestFit="1" customWidth="1"/>
    <col min="4" max="43" width="9.140625" style="19" customWidth="1"/>
    <col min="44" max="45" width="9.140625" style="9"/>
    <col min="46" max="46" width="3.28515625" style="9" customWidth="1"/>
    <col min="47" max="16384" width="9.140625" style="9"/>
  </cols>
  <sheetData>
    <row r="1" spans="1:46" ht="23.25" x14ac:dyDescent="0.2">
      <c r="A1" s="17"/>
      <c r="B1" s="256" t="str">
        <f>IF(Info!J3, "ANTHROPOMETRIC DATA", "DATOS ANTROPOMÉTRICOS")</f>
        <v>DATOS ANTROPOMÉTRICOS</v>
      </c>
      <c r="C1" s="256"/>
      <c r="D1" s="256"/>
      <c r="E1" s="256"/>
      <c r="F1" s="256"/>
      <c r="G1" s="256"/>
      <c r="H1" s="256"/>
      <c r="I1" s="256"/>
      <c r="J1" s="256"/>
      <c r="K1" s="256"/>
      <c r="L1" s="256"/>
      <c r="M1" s="256"/>
      <c r="N1" s="256"/>
      <c r="O1" s="256"/>
      <c r="P1" s="256"/>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56"/>
      <c r="AQ1" s="256"/>
      <c r="AR1" s="256"/>
      <c r="AS1" s="256"/>
      <c r="AT1" s="256"/>
    </row>
    <row r="2" spans="1:46" ht="13.5" thickBot="1" x14ac:dyDescent="0.25"/>
    <row r="3" spans="1:46" s="17" customFormat="1" x14ac:dyDescent="0.2">
      <c r="C3" s="20"/>
      <c r="D3" s="295" t="s">
        <v>0</v>
      </c>
      <c r="E3" s="296"/>
      <c r="F3" s="295" t="s">
        <v>1</v>
      </c>
      <c r="G3" s="296"/>
      <c r="H3" s="295" t="s">
        <v>2</v>
      </c>
      <c r="I3" s="296"/>
      <c r="J3" s="295" t="s">
        <v>3</v>
      </c>
      <c r="K3" s="296"/>
      <c r="L3" s="295" t="s">
        <v>4</v>
      </c>
      <c r="M3" s="296"/>
      <c r="N3" s="295" t="s">
        <v>5</v>
      </c>
      <c r="O3" s="296"/>
      <c r="P3" s="295" t="s">
        <v>6</v>
      </c>
      <c r="Q3" s="296"/>
      <c r="R3" s="295" t="s">
        <v>7</v>
      </c>
      <c r="S3" s="296"/>
      <c r="T3" s="295" t="s">
        <v>8</v>
      </c>
      <c r="U3" s="296"/>
      <c r="V3" s="295" t="s">
        <v>9</v>
      </c>
      <c r="W3" s="296"/>
      <c r="X3" s="295" t="s">
        <v>10</v>
      </c>
      <c r="Y3" s="296"/>
      <c r="Z3" s="295" t="s">
        <v>11</v>
      </c>
      <c r="AA3" s="296"/>
      <c r="AB3" s="295" t="s">
        <v>12</v>
      </c>
      <c r="AC3" s="296"/>
      <c r="AD3" s="295" t="s">
        <v>13</v>
      </c>
      <c r="AE3" s="296"/>
      <c r="AF3" s="295" t="s">
        <v>14</v>
      </c>
      <c r="AG3" s="296"/>
      <c r="AH3" s="295" t="s">
        <v>15</v>
      </c>
      <c r="AI3" s="296"/>
      <c r="AJ3" s="295" t="s">
        <v>16</v>
      </c>
      <c r="AK3" s="296"/>
      <c r="AL3" s="295" t="s">
        <v>17</v>
      </c>
      <c r="AM3" s="296"/>
      <c r="AN3" s="295" t="s">
        <v>18</v>
      </c>
      <c r="AO3" s="296"/>
      <c r="AP3" s="295" t="s">
        <v>19</v>
      </c>
      <c r="AQ3" s="296"/>
    </row>
    <row r="4" spans="1:46" s="17" customFormat="1" ht="13.5" thickBot="1" x14ac:dyDescent="0.25">
      <c r="C4" s="21"/>
      <c r="D4" s="22" t="str">
        <f>IF(Info!$J$3, "measure 1", "medida 1")</f>
        <v>medida 1</v>
      </c>
      <c r="E4" s="23" t="str">
        <f>IF(Info!$J$3, "measure 2", "medida 2")</f>
        <v>medida 2</v>
      </c>
      <c r="F4" s="22" t="str">
        <f>IF(Info!$J$3, "measure 1", "medida 1")</f>
        <v>medida 1</v>
      </c>
      <c r="G4" s="23" t="str">
        <f>IF(Info!$J$3, "measure 2", "medida 2")</f>
        <v>medida 2</v>
      </c>
      <c r="H4" s="22" t="str">
        <f>IF(Info!$J$3, "measure 1", "medida 1")</f>
        <v>medida 1</v>
      </c>
      <c r="I4" s="23" t="str">
        <f>IF(Info!$J$3, "measure 2", "medida 2")</f>
        <v>medida 2</v>
      </c>
      <c r="J4" s="22" t="str">
        <f>IF(Info!$J$3, "measure 1", "medida 1")</f>
        <v>medida 1</v>
      </c>
      <c r="K4" s="23" t="str">
        <f>IF(Info!$J$3, "measure 2", "medida 2")</f>
        <v>medida 2</v>
      </c>
      <c r="L4" s="22" t="str">
        <f>IF(Info!$J$3, "measure 1", "medida 1")</f>
        <v>medida 1</v>
      </c>
      <c r="M4" s="23" t="str">
        <f>IF(Info!$J$3, "measure 2", "medida 2")</f>
        <v>medida 2</v>
      </c>
      <c r="N4" s="22" t="str">
        <f>IF(Info!$J$3, "measure 1", "medida 1")</f>
        <v>medida 1</v>
      </c>
      <c r="O4" s="23" t="str">
        <f>IF(Info!$J$3, "measure 2", "medida 2")</f>
        <v>medida 2</v>
      </c>
      <c r="P4" s="22" t="str">
        <f>IF(Info!$J$3, "measure 1", "medida 1")</f>
        <v>medida 1</v>
      </c>
      <c r="Q4" s="23" t="str">
        <f>IF(Info!$J$3, "measure 2", "medida 2")</f>
        <v>medida 2</v>
      </c>
      <c r="R4" s="22" t="str">
        <f>IF(Info!$J$3, "measure 1", "medida 1")</f>
        <v>medida 1</v>
      </c>
      <c r="S4" s="23" t="str">
        <f>IF(Info!$J$3, "measure 2", "medida 2")</f>
        <v>medida 2</v>
      </c>
      <c r="T4" s="22" t="str">
        <f>IF(Info!$J$3, "measure 1", "medida 1")</f>
        <v>medida 1</v>
      </c>
      <c r="U4" s="23" t="str">
        <f>IF(Info!$J$3, "measure 2", "medida 2")</f>
        <v>medida 2</v>
      </c>
      <c r="V4" s="22" t="str">
        <f>IF(Info!$J$3, "measure 1", "medida 1")</f>
        <v>medida 1</v>
      </c>
      <c r="W4" s="23" t="str">
        <f>IF(Info!$J$3, "measure 2", "medida 2")</f>
        <v>medida 2</v>
      </c>
      <c r="X4" s="22" t="str">
        <f>IF(Info!$J$3, "measure 1", "medida 1")</f>
        <v>medida 1</v>
      </c>
      <c r="Y4" s="23" t="str">
        <f>IF(Info!$J$3, "measure 2", "medida 2")</f>
        <v>medida 2</v>
      </c>
      <c r="Z4" s="22" t="str">
        <f>IF(Info!$J$3, "measure 1", "medida 1")</f>
        <v>medida 1</v>
      </c>
      <c r="AA4" s="23" t="str">
        <f>IF(Info!$J$3, "measure 2", "medida 2")</f>
        <v>medida 2</v>
      </c>
      <c r="AB4" s="22" t="str">
        <f>IF(Info!$J$3, "measure 1", "medida 1")</f>
        <v>medida 1</v>
      </c>
      <c r="AC4" s="23" t="str">
        <f>IF(Info!$J$3, "measure 2", "medida 2")</f>
        <v>medida 2</v>
      </c>
      <c r="AD4" s="22" t="str">
        <f>IF(Info!$J$3, "measure 1", "medida 1")</f>
        <v>medida 1</v>
      </c>
      <c r="AE4" s="23" t="str">
        <f>IF(Info!$J$3, "measure 2", "medida 2")</f>
        <v>medida 2</v>
      </c>
      <c r="AF4" s="22" t="str">
        <f>IF(Info!$J$3, "measure 1", "medida 1")</f>
        <v>medida 1</v>
      </c>
      <c r="AG4" s="23" t="str">
        <f>IF(Info!$J$3, "measure 2", "medida 2")</f>
        <v>medida 2</v>
      </c>
      <c r="AH4" s="22" t="str">
        <f>IF(Info!$J$3, "measure 1", "medida 1")</f>
        <v>medida 1</v>
      </c>
      <c r="AI4" s="23" t="str">
        <f>IF(Info!$J$3, "measure 2", "medida 2")</f>
        <v>medida 2</v>
      </c>
      <c r="AJ4" s="22" t="str">
        <f>IF(Info!$J$3, "measure 1", "medida 1")</f>
        <v>medida 1</v>
      </c>
      <c r="AK4" s="23" t="str">
        <f>IF(Info!$J$3, "measure 2", "medida 2")</f>
        <v>medida 2</v>
      </c>
      <c r="AL4" s="22" t="str">
        <f>IF(Info!$J$3, "measure 1", "medida 1")</f>
        <v>medida 1</v>
      </c>
      <c r="AM4" s="23" t="str">
        <f>IF(Info!$J$3, "measure 2", "medida 2")</f>
        <v>medida 2</v>
      </c>
      <c r="AN4" s="22" t="str">
        <f>IF(Info!$J$3, "measure 1", "medida 1")</f>
        <v>medida 1</v>
      </c>
      <c r="AO4" s="23" t="str">
        <f>IF(Info!$J$3, "measure 2", "medida 2")</f>
        <v>medida 2</v>
      </c>
      <c r="AP4" s="22" t="str">
        <f>IF(Info!$J$3, "measure 1", "medida 1")</f>
        <v>medida 1</v>
      </c>
      <c r="AQ4" s="23" t="str">
        <f>IF(Info!$J$3, "measure 2", "medida 2")</f>
        <v>medida 2</v>
      </c>
    </row>
    <row r="5" spans="1:46" x14ac:dyDescent="0.2">
      <c r="B5" s="37">
        <f>'1'!B14</f>
        <v>1</v>
      </c>
      <c r="C5" s="47" t="str">
        <f>'1'!C14</f>
        <v>Masa Corporal ®</v>
      </c>
      <c r="D5" s="25">
        <f>'1'!$G61</f>
        <v>54.2</v>
      </c>
      <c r="E5" s="115">
        <f>'1'!$H61</f>
        <v>54.2</v>
      </c>
      <c r="F5" s="25">
        <f>'2'!$G61</f>
        <v>108</v>
      </c>
      <c r="G5" s="115">
        <f>'2'!$H61</f>
        <v>108</v>
      </c>
      <c r="H5" s="25">
        <f>'3'!$G61</f>
        <v>54.8</v>
      </c>
      <c r="I5" s="115">
        <f>'3'!$H61</f>
        <v>54.8</v>
      </c>
      <c r="J5" s="25">
        <f>'4'!$G61</f>
        <v>71.7</v>
      </c>
      <c r="K5" s="115">
        <f>'4'!$H61</f>
        <v>71.7</v>
      </c>
      <c r="L5" s="25">
        <f>'5'!$G61</f>
        <v>0</v>
      </c>
      <c r="M5" s="115">
        <f>'5'!$H61</f>
        <v>0</v>
      </c>
      <c r="N5" s="25">
        <f>'6'!$G61</f>
        <v>0</v>
      </c>
      <c r="O5" s="115">
        <f>'6'!$H61</f>
        <v>0</v>
      </c>
      <c r="P5" s="25">
        <f>'7'!$G61</f>
        <v>0</v>
      </c>
      <c r="Q5" s="115">
        <f>'7'!$H61</f>
        <v>0</v>
      </c>
      <c r="R5" s="25">
        <f>'8'!$G61</f>
        <v>0</v>
      </c>
      <c r="S5" s="115">
        <f>'8'!$H61</f>
        <v>0</v>
      </c>
      <c r="T5" s="25">
        <f>'9'!$G61</f>
        <v>0</v>
      </c>
      <c r="U5" s="115">
        <f>'9'!$H61</f>
        <v>0</v>
      </c>
      <c r="V5" s="25">
        <f>'10'!$G61</f>
        <v>0</v>
      </c>
      <c r="W5" s="115">
        <f>'10'!$H61</f>
        <v>0</v>
      </c>
      <c r="X5" s="25">
        <f>'11'!$G61</f>
        <v>0</v>
      </c>
      <c r="Y5" s="115">
        <f>'11'!$H61</f>
        <v>0</v>
      </c>
      <c r="Z5" s="25">
        <f>'12'!$G61</f>
        <v>0</v>
      </c>
      <c r="AA5" s="115">
        <f>'12'!$H61</f>
        <v>0</v>
      </c>
      <c r="AB5" s="25">
        <f>'13'!$G61</f>
        <v>0</v>
      </c>
      <c r="AC5" s="115">
        <f>'13'!$H61</f>
        <v>0</v>
      </c>
      <c r="AD5" s="25">
        <f>'14'!$G61</f>
        <v>0</v>
      </c>
      <c r="AE5" s="115">
        <f>'14'!$H61</f>
        <v>0</v>
      </c>
      <c r="AF5" s="25">
        <f>'15'!$G61</f>
        <v>0</v>
      </c>
      <c r="AG5" s="115">
        <f>'15'!$H61</f>
        <v>0</v>
      </c>
      <c r="AH5" s="25">
        <f>'16'!$G61</f>
        <v>0</v>
      </c>
      <c r="AI5" s="115">
        <f>'16'!$H61</f>
        <v>0</v>
      </c>
      <c r="AJ5" s="25">
        <f>'17'!$G61</f>
        <v>0</v>
      </c>
      <c r="AK5" s="115">
        <f>'17'!$H61</f>
        <v>0</v>
      </c>
      <c r="AL5" s="25">
        <f>'18'!$G61</f>
        <v>0</v>
      </c>
      <c r="AM5" s="115">
        <f>'18'!$H61</f>
        <v>0</v>
      </c>
      <c r="AN5" s="25">
        <f>'19'!$G61</f>
        <v>0</v>
      </c>
      <c r="AO5" s="115">
        <f>'19'!$H61</f>
        <v>0</v>
      </c>
      <c r="AP5" s="25">
        <f>'20'!$G61</f>
        <v>0</v>
      </c>
      <c r="AQ5" s="115">
        <f>'20'!$H61</f>
        <v>0</v>
      </c>
    </row>
    <row r="6" spans="1:46" x14ac:dyDescent="0.2">
      <c r="B6" s="41">
        <f>'1'!B15</f>
        <v>2</v>
      </c>
      <c r="C6" s="48" t="str">
        <f>'1'!C15</f>
        <v>Talla ®</v>
      </c>
      <c r="D6" s="26">
        <f>'1'!$G62</f>
        <v>150.5</v>
      </c>
      <c r="E6" s="117">
        <f>'1'!$H62</f>
        <v>150.5</v>
      </c>
      <c r="F6" s="26">
        <f>'2'!$G62</f>
        <v>168.5</v>
      </c>
      <c r="G6" s="117">
        <f>'2'!$H62</f>
        <v>168.5</v>
      </c>
      <c r="H6" s="26">
        <f>'3'!$G62</f>
        <v>147.5</v>
      </c>
      <c r="I6" s="117">
        <f>'3'!$H62</f>
        <v>147.5</v>
      </c>
      <c r="J6" s="26">
        <f>'4'!$G62</f>
        <v>163.5</v>
      </c>
      <c r="K6" s="117">
        <f>'4'!$H62</f>
        <v>163.5</v>
      </c>
      <c r="L6" s="26">
        <f>'5'!$G62</f>
        <v>0</v>
      </c>
      <c r="M6" s="117">
        <f>'5'!$H62</f>
        <v>0</v>
      </c>
      <c r="N6" s="26">
        <f>'6'!$G62</f>
        <v>0</v>
      </c>
      <c r="O6" s="117">
        <f>'6'!$H62</f>
        <v>0</v>
      </c>
      <c r="P6" s="26">
        <f>'7'!$G62</f>
        <v>0</v>
      </c>
      <c r="Q6" s="117">
        <f>'7'!$H62</f>
        <v>0</v>
      </c>
      <c r="R6" s="26">
        <f>'8'!$G62</f>
        <v>0</v>
      </c>
      <c r="S6" s="117">
        <f>'8'!$H62</f>
        <v>0</v>
      </c>
      <c r="T6" s="26">
        <f>'9'!$G62</f>
        <v>0</v>
      </c>
      <c r="U6" s="117">
        <f>'9'!$H62</f>
        <v>0</v>
      </c>
      <c r="V6" s="26">
        <f>'10'!$G62</f>
        <v>0</v>
      </c>
      <c r="W6" s="117">
        <f>'10'!$H62</f>
        <v>0</v>
      </c>
      <c r="X6" s="26">
        <f>'11'!$G62</f>
        <v>0</v>
      </c>
      <c r="Y6" s="117">
        <f>'11'!$H62</f>
        <v>0</v>
      </c>
      <c r="Z6" s="26">
        <f>'12'!$G62</f>
        <v>0</v>
      </c>
      <c r="AA6" s="117">
        <f>'12'!$H62</f>
        <v>0</v>
      </c>
      <c r="AB6" s="26">
        <f>'13'!$G62</f>
        <v>0</v>
      </c>
      <c r="AC6" s="117">
        <f>'13'!$H62</f>
        <v>0</v>
      </c>
      <c r="AD6" s="26">
        <f>'14'!$G62</f>
        <v>0</v>
      </c>
      <c r="AE6" s="117">
        <f>'14'!$H62</f>
        <v>0</v>
      </c>
      <c r="AF6" s="26">
        <f>'15'!$G62</f>
        <v>0</v>
      </c>
      <c r="AG6" s="117">
        <f>'15'!$H62</f>
        <v>0</v>
      </c>
      <c r="AH6" s="26">
        <f>'16'!$G62</f>
        <v>0</v>
      </c>
      <c r="AI6" s="117">
        <f>'16'!$H62</f>
        <v>0</v>
      </c>
      <c r="AJ6" s="26">
        <f>'17'!$G62</f>
        <v>0</v>
      </c>
      <c r="AK6" s="117">
        <f>'17'!$H62</f>
        <v>0</v>
      </c>
      <c r="AL6" s="26">
        <f>'18'!$G62</f>
        <v>0</v>
      </c>
      <c r="AM6" s="117">
        <f>'18'!$H62</f>
        <v>0</v>
      </c>
      <c r="AN6" s="26">
        <f>'19'!$G62</f>
        <v>0</v>
      </c>
      <c r="AO6" s="117">
        <f>'19'!$H62</f>
        <v>0</v>
      </c>
      <c r="AP6" s="26">
        <f>'20'!$G62</f>
        <v>0</v>
      </c>
      <c r="AQ6" s="117">
        <f>'20'!$H62</f>
        <v>0</v>
      </c>
    </row>
    <row r="7" spans="1:46" x14ac:dyDescent="0.2">
      <c r="B7" s="41">
        <f>'1'!B16</f>
        <v>3</v>
      </c>
      <c r="C7" s="42" t="str">
        <f>'1'!C16</f>
        <v>Talla Sentado ®</v>
      </c>
      <c r="D7" s="26">
        <f>'1'!$G63</f>
        <v>82.5</v>
      </c>
      <c r="E7" s="117">
        <f>'1'!$H63</f>
        <v>82.5</v>
      </c>
      <c r="F7" s="26">
        <f>'2'!$G63</f>
        <v>89</v>
      </c>
      <c r="G7" s="117">
        <f>'2'!$H63</f>
        <v>89</v>
      </c>
      <c r="H7" s="26">
        <f>'3'!$G63</f>
        <v>81</v>
      </c>
      <c r="I7" s="117">
        <f>'3'!$H63</f>
        <v>81</v>
      </c>
      <c r="J7" s="26" t="e">
        <f>'4'!$G63</f>
        <v>#VALUE!</v>
      </c>
      <c r="K7" s="117" t="e">
        <f>'4'!$H63</f>
        <v>#VALUE!</v>
      </c>
      <c r="L7" s="26">
        <f>'5'!$G63</f>
        <v>0</v>
      </c>
      <c r="M7" s="117">
        <f>'5'!$H63</f>
        <v>0</v>
      </c>
      <c r="N7" s="26">
        <f>'6'!$G63</f>
        <v>0</v>
      </c>
      <c r="O7" s="117">
        <f>'6'!$H63</f>
        <v>0</v>
      </c>
      <c r="P7" s="26">
        <f>'7'!$G63</f>
        <v>0</v>
      </c>
      <c r="Q7" s="117">
        <f>'7'!$H63</f>
        <v>0</v>
      </c>
      <c r="R7" s="26">
        <f>'8'!$G63</f>
        <v>0</v>
      </c>
      <c r="S7" s="117">
        <f>'8'!$H63</f>
        <v>0</v>
      </c>
      <c r="T7" s="26">
        <f>'9'!$G63</f>
        <v>0</v>
      </c>
      <c r="U7" s="117">
        <f>'9'!$H63</f>
        <v>0</v>
      </c>
      <c r="V7" s="26">
        <f>'10'!$G63</f>
        <v>0</v>
      </c>
      <c r="W7" s="117">
        <f>'10'!$H63</f>
        <v>0</v>
      </c>
      <c r="X7" s="26">
        <f>'11'!$G63</f>
        <v>0</v>
      </c>
      <c r="Y7" s="117">
        <f>'11'!$H63</f>
        <v>0</v>
      </c>
      <c r="Z7" s="26">
        <f>'12'!$G63</f>
        <v>0</v>
      </c>
      <c r="AA7" s="117">
        <f>'12'!$H63</f>
        <v>0</v>
      </c>
      <c r="AB7" s="26">
        <f>'13'!$G63</f>
        <v>0</v>
      </c>
      <c r="AC7" s="117">
        <f>'13'!$H63</f>
        <v>0</v>
      </c>
      <c r="AD7" s="26">
        <f>'14'!$G63</f>
        <v>0</v>
      </c>
      <c r="AE7" s="117">
        <f>'14'!$H63</f>
        <v>0</v>
      </c>
      <c r="AF7" s="26">
        <f>'15'!$G63</f>
        <v>0</v>
      </c>
      <c r="AG7" s="117">
        <f>'15'!$H63</f>
        <v>0</v>
      </c>
      <c r="AH7" s="26">
        <f>'16'!$G63</f>
        <v>0</v>
      </c>
      <c r="AI7" s="117">
        <f>'16'!$H63</f>
        <v>0</v>
      </c>
      <c r="AJ7" s="26">
        <f>'17'!$G63</f>
        <v>0</v>
      </c>
      <c r="AK7" s="117">
        <f>'17'!$H63</f>
        <v>0</v>
      </c>
      <c r="AL7" s="26">
        <f>'18'!$G63</f>
        <v>0</v>
      </c>
      <c r="AM7" s="117">
        <f>'18'!$H63</f>
        <v>0</v>
      </c>
      <c r="AN7" s="26">
        <f>'19'!$G63</f>
        <v>0</v>
      </c>
      <c r="AO7" s="117">
        <f>'19'!$H63</f>
        <v>0</v>
      </c>
      <c r="AP7" s="26">
        <f>'20'!$G63</f>
        <v>0</v>
      </c>
      <c r="AQ7" s="117">
        <f>'20'!$H63</f>
        <v>0</v>
      </c>
    </row>
    <row r="8" spans="1:46" x14ac:dyDescent="0.2">
      <c r="B8" s="41">
        <f>'1'!B17</f>
        <v>4</v>
      </c>
      <c r="C8" s="42" t="str">
        <f>'1'!C17</f>
        <v>Envergadura de Brazos ®</v>
      </c>
      <c r="D8" s="26">
        <f>'1'!$G64</f>
        <v>152.5</v>
      </c>
      <c r="E8" s="117">
        <f>'1'!$H64</f>
        <v>152.5</v>
      </c>
      <c r="F8" s="26">
        <f>'2'!$G64</f>
        <v>175</v>
      </c>
      <c r="G8" s="117">
        <f>'2'!$H64</f>
        <v>175</v>
      </c>
      <c r="H8" s="26">
        <f>'3'!$G64</f>
        <v>151</v>
      </c>
      <c r="I8" s="117">
        <f>'3'!$H64</f>
        <v>151</v>
      </c>
      <c r="J8" s="26" t="e">
        <f>'4'!$G64</f>
        <v>#VALUE!</v>
      </c>
      <c r="K8" s="117" t="e">
        <f>'4'!$H64</f>
        <v>#VALUE!</v>
      </c>
      <c r="L8" s="26">
        <f>'5'!$G64</f>
        <v>0</v>
      </c>
      <c r="M8" s="117">
        <f>'5'!$H64</f>
        <v>0</v>
      </c>
      <c r="N8" s="26">
        <f>'6'!$G64</f>
        <v>0</v>
      </c>
      <c r="O8" s="117">
        <f>'6'!$H64</f>
        <v>0</v>
      </c>
      <c r="P8" s="26">
        <f>'7'!$G64</f>
        <v>0</v>
      </c>
      <c r="Q8" s="117">
        <f>'7'!$H64</f>
        <v>0</v>
      </c>
      <c r="R8" s="26">
        <f>'8'!$G64</f>
        <v>0</v>
      </c>
      <c r="S8" s="117">
        <f>'8'!$H64</f>
        <v>0</v>
      </c>
      <c r="T8" s="26">
        <f>'9'!$G64</f>
        <v>0</v>
      </c>
      <c r="U8" s="117">
        <f>'9'!$H64</f>
        <v>0</v>
      </c>
      <c r="V8" s="26">
        <f>'10'!$G64</f>
        <v>0</v>
      </c>
      <c r="W8" s="117">
        <f>'10'!$H64</f>
        <v>0</v>
      </c>
      <c r="X8" s="26">
        <f>'11'!$G64</f>
        <v>0</v>
      </c>
      <c r="Y8" s="117">
        <f>'11'!$H64</f>
        <v>0</v>
      </c>
      <c r="Z8" s="26">
        <f>'12'!$G64</f>
        <v>0</v>
      </c>
      <c r="AA8" s="117">
        <f>'12'!$H64</f>
        <v>0</v>
      </c>
      <c r="AB8" s="26">
        <f>'13'!$G64</f>
        <v>0</v>
      </c>
      <c r="AC8" s="117">
        <f>'13'!$H64</f>
        <v>0</v>
      </c>
      <c r="AD8" s="26">
        <f>'14'!$G64</f>
        <v>0</v>
      </c>
      <c r="AE8" s="117">
        <f>'14'!$H64</f>
        <v>0</v>
      </c>
      <c r="AF8" s="26">
        <f>'15'!$G64</f>
        <v>0</v>
      </c>
      <c r="AG8" s="117">
        <f>'15'!$H64</f>
        <v>0</v>
      </c>
      <c r="AH8" s="26">
        <f>'16'!$G64</f>
        <v>0</v>
      </c>
      <c r="AI8" s="117">
        <f>'16'!$H64</f>
        <v>0</v>
      </c>
      <c r="AJ8" s="26">
        <f>'17'!$G64</f>
        <v>0</v>
      </c>
      <c r="AK8" s="117">
        <f>'17'!$H64</f>
        <v>0</v>
      </c>
      <c r="AL8" s="26">
        <f>'18'!$G64</f>
        <v>0</v>
      </c>
      <c r="AM8" s="117">
        <f>'18'!$H64</f>
        <v>0</v>
      </c>
      <c r="AN8" s="26">
        <f>'19'!$G64</f>
        <v>0</v>
      </c>
      <c r="AO8" s="117">
        <f>'19'!$H64</f>
        <v>0</v>
      </c>
      <c r="AP8" s="26">
        <f>'20'!$G64</f>
        <v>0</v>
      </c>
      <c r="AQ8" s="117">
        <f>'20'!$H64</f>
        <v>0</v>
      </c>
    </row>
    <row r="9" spans="1:46" x14ac:dyDescent="0.2">
      <c r="B9" s="41">
        <f>'1'!B18</f>
        <v>5</v>
      </c>
      <c r="C9" s="42" t="str">
        <f>'1'!C18</f>
        <v>PL Tríceps ®</v>
      </c>
      <c r="D9" s="26">
        <f>'1'!$G65</f>
        <v>18</v>
      </c>
      <c r="E9" s="117">
        <f>'1'!$H65</f>
        <v>17</v>
      </c>
      <c r="F9" s="26">
        <f>'2'!$G65</f>
        <v>41</v>
      </c>
      <c r="G9" s="117">
        <f>'2'!$H65</f>
        <v>40</v>
      </c>
      <c r="H9" s="26">
        <f>'3'!$G65</f>
        <v>27</v>
      </c>
      <c r="I9" s="117">
        <f>'3'!$H65</f>
        <v>26</v>
      </c>
      <c r="J9" s="26">
        <f>'4'!$G65</f>
        <v>31</v>
      </c>
      <c r="K9" s="117">
        <f>'4'!$H65</f>
        <v>31</v>
      </c>
      <c r="L9" s="26">
        <f>'5'!$G65</f>
        <v>0</v>
      </c>
      <c r="M9" s="117">
        <f>'5'!$H65</f>
        <v>0</v>
      </c>
      <c r="N9" s="26">
        <f>'6'!$G65</f>
        <v>0</v>
      </c>
      <c r="O9" s="117">
        <f>'6'!$H65</f>
        <v>0</v>
      </c>
      <c r="P9" s="26">
        <f>'7'!$G65</f>
        <v>0</v>
      </c>
      <c r="Q9" s="117">
        <f>'7'!$H65</f>
        <v>0</v>
      </c>
      <c r="R9" s="26">
        <f>'8'!$G65</f>
        <v>0</v>
      </c>
      <c r="S9" s="117">
        <f>'8'!$H65</f>
        <v>0</v>
      </c>
      <c r="T9" s="26">
        <f>'9'!$G65</f>
        <v>0</v>
      </c>
      <c r="U9" s="117">
        <f>'9'!$H65</f>
        <v>0</v>
      </c>
      <c r="V9" s="26">
        <f>'10'!$G65</f>
        <v>0</v>
      </c>
      <c r="W9" s="117">
        <f>'10'!$H65</f>
        <v>0</v>
      </c>
      <c r="X9" s="26">
        <f>'11'!$G65</f>
        <v>0</v>
      </c>
      <c r="Y9" s="117">
        <f>'11'!$H65</f>
        <v>0</v>
      </c>
      <c r="Z9" s="26">
        <f>'12'!$G65</f>
        <v>0</v>
      </c>
      <c r="AA9" s="117">
        <f>'12'!$H65</f>
        <v>0</v>
      </c>
      <c r="AB9" s="26">
        <f>'13'!$G65</f>
        <v>0</v>
      </c>
      <c r="AC9" s="117">
        <f>'13'!$H65</f>
        <v>0</v>
      </c>
      <c r="AD9" s="26">
        <f>'14'!$G65</f>
        <v>0</v>
      </c>
      <c r="AE9" s="117">
        <f>'14'!$H65</f>
        <v>0</v>
      </c>
      <c r="AF9" s="26">
        <f>'15'!$G65</f>
        <v>0</v>
      </c>
      <c r="AG9" s="117">
        <f>'15'!$H65</f>
        <v>0</v>
      </c>
      <c r="AH9" s="26">
        <f>'16'!$G65</f>
        <v>0</v>
      </c>
      <c r="AI9" s="117">
        <f>'16'!$H65</f>
        <v>0</v>
      </c>
      <c r="AJ9" s="26">
        <f>'17'!$G65</f>
        <v>0</v>
      </c>
      <c r="AK9" s="117">
        <f>'17'!$H65</f>
        <v>0</v>
      </c>
      <c r="AL9" s="26">
        <f>'18'!$G65</f>
        <v>0</v>
      </c>
      <c r="AM9" s="117">
        <f>'18'!$H65</f>
        <v>0</v>
      </c>
      <c r="AN9" s="26">
        <f>'19'!$G65</f>
        <v>0</v>
      </c>
      <c r="AO9" s="117">
        <f>'19'!$H65</f>
        <v>0</v>
      </c>
      <c r="AP9" s="26">
        <f>'20'!$G65</f>
        <v>0</v>
      </c>
      <c r="AQ9" s="117">
        <f>'20'!$H65</f>
        <v>0</v>
      </c>
    </row>
    <row r="10" spans="1:46" x14ac:dyDescent="0.2">
      <c r="B10" s="41">
        <f>'1'!B19</f>
        <v>6</v>
      </c>
      <c r="C10" s="42" t="str">
        <f>'1'!C19</f>
        <v>PL Subescapular ®</v>
      </c>
      <c r="D10" s="26">
        <f>'1'!$G66</f>
        <v>14</v>
      </c>
      <c r="E10" s="117">
        <f>'1'!$H66</f>
        <v>17</v>
      </c>
      <c r="F10" s="26">
        <f>'2'!$G66</f>
        <v>68</v>
      </c>
      <c r="G10" s="117">
        <f>'2'!$H66</f>
        <v>70</v>
      </c>
      <c r="H10" s="26">
        <f>'3'!$G66</f>
        <v>23</v>
      </c>
      <c r="I10" s="117">
        <f>'3'!$H66</f>
        <v>23</v>
      </c>
      <c r="J10" s="26">
        <f>'4'!$G66</f>
        <v>21</v>
      </c>
      <c r="K10" s="117">
        <f>'4'!$H66</f>
        <v>21</v>
      </c>
      <c r="L10" s="26">
        <f>'5'!$G66</f>
        <v>0</v>
      </c>
      <c r="M10" s="117">
        <f>'5'!$H66</f>
        <v>0</v>
      </c>
      <c r="N10" s="26">
        <f>'6'!$G66</f>
        <v>0</v>
      </c>
      <c r="O10" s="117">
        <f>'6'!$H66</f>
        <v>0</v>
      </c>
      <c r="P10" s="26">
        <f>'7'!$G66</f>
        <v>0</v>
      </c>
      <c r="Q10" s="117">
        <f>'7'!$H66</f>
        <v>0</v>
      </c>
      <c r="R10" s="26">
        <f>'8'!$G66</f>
        <v>0</v>
      </c>
      <c r="S10" s="117">
        <f>'8'!$H66</f>
        <v>0</v>
      </c>
      <c r="T10" s="26">
        <f>'9'!$G66</f>
        <v>0</v>
      </c>
      <c r="U10" s="117">
        <f>'9'!$H66</f>
        <v>0</v>
      </c>
      <c r="V10" s="26">
        <f>'10'!$G66</f>
        <v>0</v>
      </c>
      <c r="W10" s="117">
        <f>'10'!$H66</f>
        <v>0</v>
      </c>
      <c r="X10" s="26">
        <f>'11'!$G66</f>
        <v>0</v>
      </c>
      <c r="Y10" s="117">
        <f>'11'!$H66</f>
        <v>0</v>
      </c>
      <c r="Z10" s="26">
        <f>'12'!$G66</f>
        <v>0</v>
      </c>
      <c r="AA10" s="117">
        <f>'12'!$H66</f>
        <v>0</v>
      </c>
      <c r="AB10" s="26">
        <f>'13'!$G66</f>
        <v>0</v>
      </c>
      <c r="AC10" s="117">
        <f>'13'!$H66</f>
        <v>0</v>
      </c>
      <c r="AD10" s="26">
        <f>'14'!$G66</f>
        <v>0</v>
      </c>
      <c r="AE10" s="117">
        <f>'14'!$H66</f>
        <v>0</v>
      </c>
      <c r="AF10" s="26">
        <f>'15'!$G66</f>
        <v>0</v>
      </c>
      <c r="AG10" s="117">
        <f>'15'!$H66</f>
        <v>0</v>
      </c>
      <c r="AH10" s="26">
        <f>'16'!$G66</f>
        <v>0</v>
      </c>
      <c r="AI10" s="117">
        <f>'16'!$H66</f>
        <v>0</v>
      </c>
      <c r="AJ10" s="26">
        <f>'17'!$G66</f>
        <v>0</v>
      </c>
      <c r="AK10" s="117">
        <f>'17'!$H66</f>
        <v>0</v>
      </c>
      <c r="AL10" s="26">
        <f>'18'!$G66</f>
        <v>0</v>
      </c>
      <c r="AM10" s="117">
        <f>'18'!$H66</f>
        <v>0</v>
      </c>
      <c r="AN10" s="26">
        <f>'19'!$G66</f>
        <v>0</v>
      </c>
      <c r="AO10" s="117">
        <f>'19'!$H66</f>
        <v>0</v>
      </c>
      <c r="AP10" s="26">
        <f>'20'!$G66</f>
        <v>0</v>
      </c>
      <c r="AQ10" s="117">
        <f>'20'!$H66</f>
        <v>0</v>
      </c>
    </row>
    <row r="11" spans="1:46" x14ac:dyDescent="0.2">
      <c r="B11" s="41">
        <f>'1'!B20</f>
        <v>7</v>
      </c>
      <c r="C11" s="42" t="str">
        <f>'1'!C20</f>
        <v>PL Bíceps ®</v>
      </c>
      <c r="D11" s="26">
        <f>'1'!$G67</f>
        <v>14</v>
      </c>
      <c r="E11" s="117">
        <f>'1'!$H67</f>
        <v>14</v>
      </c>
      <c r="F11" s="26">
        <f>'2'!$G67</f>
        <v>19</v>
      </c>
      <c r="G11" s="117">
        <f>'2'!$H67</f>
        <v>21</v>
      </c>
      <c r="H11" s="26">
        <f>'3'!$G67</f>
        <v>6</v>
      </c>
      <c r="I11" s="117">
        <f>'3'!$H67</f>
        <v>6</v>
      </c>
      <c r="J11" s="26">
        <f>'4'!$G67</f>
        <v>15</v>
      </c>
      <c r="K11" s="117">
        <f>'4'!$H67</f>
        <v>15</v>
      </c>
      <c r="L11" s="26">
        <f>'5'!$G67</f>
        <v>0</v>
      </c>
      <c r="M11" s="117">
        <f>'5'!$H67</f>
        <v>0</v>
      </c>
      <c r="N11" s="26">
        <f>'6'!$G67</f>
        <v>0</v>
      </c>
      <c r="O11" s="117">
        <f>'6'!$H67</f>
        <v>0</v>
      </c>
      <c r="P11" s="26">
        <f>'7'!$G67</f>
        <v>0</v>
      </c>
      <c r="Q11" s="117">
        <f>'7'!$H67</f>
        <v>0</v>
      </c>
      <c r="R11" s="26">
        <f>'8'!$G67</f>
        <v>0</v>
      </c>
      <c r="S11" s="117">
        <f>'8'!$H67</f>
        <v>0</v>
      </c>
      <c r="T11" s="26">
        <f>'9'!$G67</f>
        <v>0</v>
      </c>
      <c r="U11" s="117">
        <f>'9'!$H67</f>
        <v>0</v>
      </c>
      <c r="V11" s="26">
        <f>'10'!$G67</f>
        <v>0</v>
      </c>
      <c r="W11" s="117">
        <f>'10'!$H67</f>
        <v>0</v>
      </c>
      <c r="X11" s="26">
        <f>'11'!$G67</f>
        <v>0</v>
      </c>
      <c r="Y11" s="117">
        <f>'11'!$H67</f>
        <v>0</v>
      </c>
      <c r="Z11" s="26">
        <f>'12'!$G67</f>
        <v>0</v>
      </c>
      <c r="AA11" s="117">
        <f>'12'!$H67</f>
        <v>0</v>
      </c>
      <c r="AB11" s="26">
        <f>'13'!$G67</f>
        <v>0</v>
      </c>
      <c r="AC11" s="117">
        <f>'13'!$H67</f>
        <v>0</v>
      </c>
      <c r="AD11" s="26">
        <f>'14'!$G67</f>
        <v>0</v>
      </c>
      <c r="AE11" s="117">
        <f>'14'!$H67</f>
        <v>0</v>
      </c>
      <c r="AF11" s="26">
        <f>'15'!$G67</f>
        <v>0</v>
      </c>
      <c r="AG11" s="117">
        <f>'15'!$H67</f>
        <v>0</v>
      </c>
      <c r="AH11" s="26">
        <f>'16'!$G67</f>
        <v>0</v>
      </c>
      <c r="AI11" s="117">
        <f>'16'!$H67</f>
        <v>0</v>
      </c>
      <c r="AJ11" s="26">
        <f>'17'!$G67</f>
        <v>0</v>
      </c>
      <c r="AK11" s="117">
        <f>'17'!$H67</f>
        <v>0</v>
      </c>
      <c r="AL11" s="26">
        <f>'18'!$G67</f>
        <v>0</v>
      </c>
      <c r="AM11" s="117">
        <f>'18'!$H67</f>
        <v>0</v>
      </c>
      <c r="AN11" s="26">
        <f>'19'!$G67</f>
        <v>0</v>
      </c>
      <c r="AO11" s="117">
        <f>'19'!$H67</f>
        <v>0</v>
      </c>
      <c r="AP11" s="26">
        <f>'20'!$G67</f>
        <v>0</v>
      </c>
      <c r="AQ11" s="117">
        <f>'20'!$H67</f>
        <v>0</v>
      </c>
    </row>
    <row r="12" spans="1:46" x14ac:dyDescent="0.2">
      <c r="B12" s="41">
        <f>'1'!B21</f>
        <v>8</v>
      </c>
      <c r="C12" s="42" t="str">
        <f>'1'!C21</f>
        <v>PL Cresta Ilíaca ®</v>
      </c>
      <c r="D12" s="26">
        <f>'1'!$G68</f>
        <v>14</v>
      </c>
      <c r="E12" s="117">
        <f>'1'!$H68</f>
        <v>15</v>
      </c>
      <c r="F12" s="26">
        <f>'2'!$G68</f>
        <v>50</v>
      </c>
      <c r="G12" s="117">
        <f>'2'!$H68</f>
        <v>50</v>
      </c>
      <c r="H12" s="26">
        <f>'3'!$G68</f>
        <v>18</v>
      </c>
      <c r="I12" s="117">
        <f>'3'!$H68</f>
        <v>18</v>
      </c>
      <c r="J12" s="26">
        <f>'4'!$G68</f>
        <v>20</v>
      </c>
      <c r="K12" s="117">
        <f>'4'!$H68</f>
        <v>21</v>
      </c>
      <c r="L12" s="26">
        <f>'5'!$G68</f>
        <v>0</v>
      </c>
      <c r="M12" s="117">
        <f>'5'!$H68</f>
        <v>0</v>
      </c>
      <c r="N12" s="26">
        <f>'6'!$G68</f>
        <v>0</v>
      </c>
      <c r="O12" s="117">
        <f>'6'!$H68</f>
        <v>0</v>
      </c>
      <c r="P12" s="26">
        <f>'7'!$G68</f>
        <v>0</v>
      </c>
      <c r="Q12" s="117">
        <f>'7'!$H68</f>
        <v>0</v>
      </c>
      <c r="R12" s="26">
        <f>'8'!$G68</f>
        <v>0</v>
      </c>
      <c r="S12" s="117">
        <f>'8'!$H68</f>
        <v>0</v>
      </c>
      <c r="T12" s="26">
        <f>'9'!$G68</f>
        <v>0</v>
      </c>
      <c r="U12" s="117">
        <f>'9'!$H68</f>
        <v>0</v>
      </c>
      <c r="V12" s="26">
        <f>'10'!$G68</f>
        <v>0</v>
      </c>
      <c r="W12" s="117">
        <f>'10'!$H68</f>
        <v>0</v>
      </c>
      <c r="X12" s="26">
        <f>'11'!$G68</f>
        <v>0</v>
      </c>
      <c r="Y12" s="117">
        <f>'11'!$H68</f>
        <v>0</v>
      </c>
      <c r="Z12" s="26">
        <f>'12'!$G68</f>
        <v>0</v>
      </c>
      <c r="AA12" s="117">
        <f>'12'!$H68</f>
        <v>0</v>
      </c>
      <c r="AB12" s="26">
        <f>'13'!$G68</f>
        <v>0</v>
      </c>
      <c r="AC12" s="117">
        <f>'13'!$H68</f>
        <v>0</v>
      </c>
      <c r="AD12" s="26">
        <f>'14'!$G68</f>
        <v>0</v>
      </c>
      <c r="AE12" s="117">
        <f>'14'!$H68</f>
        <v>0</v>
      </c>
      <c r="AF12" s="26">
        <f>'15'!$G68</f>
        <v>0</v>
      </c>
      <c r="AG12" s="117">
        <f>'15'!$H68</f>
        <v>0</v>
      </c>
      <c r="AH12" s="26">
        <f>'16'!$G68</f>
        <v>0</v>
      </c>
      <c r="AI12" s="117">
        <f>'16'!$H68</f>
        <v>0</v>
      </c>
      <c r="AJ12" s="26">
        <f>'17'!$G68</f>
        <v>0</v>
      </c>
      <c r="AK12" s="117">
        <f>'17'!$H68</f>
        <v>0</v>
      </c>
      <c r="AL12" s="26">
        <f>'18'!$G68</f>
        <v>0</v>
      </c>
      <c r="AM12" s="117">
        <f>'18'!$H68</f>
        <v>0</v>
      </c>
      <c r="AN12" s="26">
        <f>'19'!$G68</f>
        <v>0</v>
      </c>
      <c r="AO12" s="117">
        <f>'19'!$H68</f>
        <v>0</v>
      </c>
      <c r="AP12" s="26">
        <f>'20'!$G68</f>
        <v>0</v>
      </c>
      <c r="AQ12" s="117">
        <f>'20'!$H68</f>
        <v>0</v>
      </c>
    </row>
    <row r="13" spans="1:46" x14ac:dyDescent="0.2">
      <c r="B13" s="41">
        <f>'1'!B22</f>
        <v>9</v>
      </c>
      <c r="C13" s="42" t="str">
        <f>'1'!C22</f>
        <v>PL Supraespinal ®</v>
      </c>
      <c r="D13" s="26">
        <f>'1'!$G69</f>
        <v>11</v>
      </c>
      <c r="E13" s="117">
        <f>'1'!$H69</f>
        <v>10</v>
      </c>
      <c r="F13" s="26">
        <f>'2'!$G69</f>
        <v>48</v>
      </c>
      <c r="G13" s="117">
        <f>'2'!$H69</f>
        <v>50</v>
      </c>
      <c r="H13" s="26">
        <f>'3'!$G69</f>
        <v>16</v>
      </c>
      <c r="I13" s="117">
        <f>'3'!$H69</f>
        <v>13</v>
      </c>
      <c r="J13" s="26">
        <f>'4'!$G69</f>
        <v>26</v>
      </c>
      <c r="K13" s="117">
        <f>'4'!$H69</f>
        <v>25</v>
      </c>
      <c r="L13" s="26">
        <f>'5'!$G69</f>
        <v>0</v>
      </c>
      <c r="M13" s="117">
        <f>'5'!$H69</f>
        <v>0</v>
      </c>
      <c r="N13" s="26">
        <f>'6'!$G69</f>
        <v>0</v>
      </c>
      <c r="O13" s="117">
        <f>'6'!$H69</f>
        <v>0</v>
      </c>
      <c r="P13" s="26">
        <f>'7'!$G69</f>
        <v>0</v>
      </c>
      <c r="Q13" s="117">
        <f>'7'!$H69</f>
        <v>0</v>
      </c>
      <c r="R13" s="26">
        <f>'8'!$G69</f>
        <v>0</v>
      </c>
      <c r="S13" s="117">
        <f>'8'!$H69</f>
        <v>0</v>
      </c>
      <c r="T13" s="26">
        <f>'9'!$G69</f>
        <v>0</v>
      </c>
      <c r="U13" s="117">
        <f>'9'!$H69</f>
        <v>0</v>
      </c>
      <c r="V13" s="26">
        <f>'10'!$G69</f>
        <v>0</v>
      </c>
      <c r="W13" s="117">
        <f>'10'!$H69</f>
        <v>0</v>
      </c>
      <c r="X13" s="26">
        <f>'11'!$G69</f>
        <v>0</v>
      </c>
      <c r="Y13" s="117">
        <f>'11'!$H69</f>
        <v>0</v>
      </c>
      <c r="Z13" s="26">
        <f>'12'!$G69</f>
        <v>0</v>
      </c>
      <c r="AA13" s="117">
        <f>'12'!$H69</f>
        <v>0</v>
      </c>
      <c r="AB13" s="26">
        <f>'13'!$G69</f>
        <v>0</v>
      </c>
      <c r="AC13" s="117">
        <f>'13'!$H69</f>
        <v>0</v>
      </c>
      <c r="AD13" s="26">
        <f>'14'!$G69</f>
        <v>0</v>
      </c>
      <c r="AE13" s="117">
        <f>'14'!$H69</f>
        <v>0</v>
      </c>
      <c r="AF13" s="26">
        <f>'15'!$G69</f>
        <v>0</v>
      </c>
      <c r="AG13" s="117">
        <f>'15'!$H69</f>
        <v>0</v>
      </c>
      <c r="AH13" s="26">
        <f>'16'!$G69</f>
        <v>0</v>
      </c>
      <c r="AI13" s="117">
        <f>'16'!$H69</f>
        <v>0</v>
      </c>
      <c r="AJ13" s="26">
        <f>'17'!$G69</f>
        <v>0</v>
      </c>
      <c r="AK13" s="117">
        <f>'17'!$H69</f>
        <v>0</v>
      </c>
      <c r="AL13" s="26">
        <f>'18'!$G69</f>
        <v>0</v>
      </c>
      <c r="AM13" s="117">
        <f>'18'!$H69</f>
        <v>0</v>
      </c>
      <c r="AN13" s="26">
        <f>'19'!$G69</f>
        <v>0</v>
      </c>
      <c r="AO13" s="117">
        <f>'19'!$H69</f>
        <v>0</v>
      </c>
      <c r="AP13" s="26">
        <f>'20'!$G69</f>
        <v>0</v>
      </c>
      <c r="AQ13" s="117">
        <f>'20'!$H69</f>
        <v>0</v>
      </c>
    </row>
    <row r="14" spans="1:46" x14ac:dyDescent="0.2">
      <c r="B14" s="41">
        <f>'1'!B23</f>
        <v>10</v>
      </c>
      <c r="C14" s="42" t="str">
        <f>'1'!C23</f>
        <v>PL Abdominal ®</v>
      </c>
      <c r="D14" s="26">
        <f>'1'!$G70</f>
        <v>12</v>
      </c>
      <c r="E14" s="117">
        <f>'1'!$H70</f>
        <v>12</v>
      </c>
      <c r="F14" s="26">
        <f>'2'!$G70</f>
        <v>80</v>
      </c>
      <c r="G14" s="117">
        <f>'2'!$H70</f>
        <v>80</v>
      </c>
      <c r="H14" s="26">
        <f>'3'!$G70</f>
        <v>24</v>
      </c>
      <c r="I14" s="117">
        <f>'3'!$H70</f>
        <v>24</v>
      </c>
      <c r="J14" s="26">
        <f>'4'!$G70</f>
        <v>29</v>
      </c>
      <c r="K14" s="117">
        <f>'4'!$H70</f>
        <v>29</v>
      </c>
      <c r="L14" s="26">
        <f>'5'!$G70</f>
        <v>0</v>
      </c>
      <c r="M14" s="117">
        <f>'5'!$H70</f>
        <v>0</v>
      </c>
      <c r="N14" s="26">
        <f>'6'!$G70</f>
        <v>0</v>
      </c>
      <c r="O14" s="117">
        <f>'6'!$H70</f>
        <v>0</v>
      </c>
      <c r="P14" s="26">
        <f>'7'!$G70</f>
        <v>0</v>
      </c>
      <c r="Q14" s="117">
        <f>'7'!$H70</f>
        <v>0</v>
      </c>
      <c r="R14" s="26">
        <f>'8'!$G70</f>
        <v>0</v>
      </c>
      <c r="S14" s="117">
        <f>'8'!$H70</f>
        <v>0</v>
      </c>
      <c r="T14" s="26">
        <f>'9'!$G70</f>
        <v>0</v>
      </c>
      <c r="U14" s="117">
        <f>'9'!$H70</f>
        <v>0</v>
      </c>
      <c r="V14" s="26">
        <f>'10'!$G70</f>
        <v>0</v>
      </c>
      <c r="W14" s="117">
        <f>'10'!$H70</f>
        <v>0</v>
      </c>
      <c r="X14" s="26">
        <f>'11'!$G70</f>
        <v>0</v>
      </c>
      <c r="Y14" s="117">
        <f>'11'!$H70</f>
        <v>0</v>
      </c>
      <c r="Z14" s="26">
        <f>'12'!$G70</f>
        <v>0</v>
      </c>
      <c r="AA14" s="117">
        <f>'12'!$H70</f>
        <v>0</v>
      </c>
      <c r="AB14" s="26">
        <f>'13'!$G70</f>
        <v>0</v>
      </c>
      <c r="AC14" s="117">
        <f>'13'!$H70</f>
        <v>0</v>
      </c>
      <c r="AD14" s="26">
        <f>'14'!$G70</f>
        <v>0</v>
      </c>
      <c r="AE14" s="117">
        <f>'14'!$H70</f>
        <v>0</v>
      </c>
      <c r="AF14" s="26">
        <f>'15'!$G70</f>
        <v>0</v>
      </c>
      <c r="AG14" s="117">
        <f>'15'!$H70</f>
        <v>0</v>
      </c>
      <c r="AH14" s="26">
        <f>'16'!$G70</f>
        <v>0</v>
      </c>
      <c r="AI14" s="117">
        <f>'16'!$H70</f>
        <v>0</v>
      </c>
      <c r="AJ14" s="26">
        <f>'17'!$G70</f>
        <v>0</v>
      </c>
      <c r="AK14" s="117">
        <f>'17'!$H70</f>
        <v>0</v>
      </c>
      <c r="AL14" s="26">
        <f>'18'!$G70</f>
        <v>0</v>
      </c>
      <c r="AM14" s="117">
        <f>'18'!$H70</f>
        <v>0</v>
      </c>
      <c r="AN14" s="26">
        <f>'19'!$G70</f>
        <v>0</v>
      </c>
      <c r="AO14" s="117">
        <f>'19'!$H70</f>
        <v>0</v>
      </c>
      <c r="AP14" s="26">
        <f>'20'!$G70</f>
        <v>0</v>
      </c>
      <c r="AQ14" s="117">
        <f>'20'!$H70</f>
        <v>0</v>
      </c>
    </row>
    <row r="15" spans="1:46" x14ac:dyDescent="0.2">
      <c r="B15" s="41">
        <f>'1'!B24</f>
        <v>11</v>
      </c>
      <c r="C15" s="42" t="str">
        <f>'1'!C24</f>
        <v>PL Muslo ®</v>
      </c>
      <c r="D15" s="26">
        <f>'1'!$G71</f>
        <v>31</v>
      </c>
      <c r="E15" s="117">
        <f>'1'!$H71</f>
        <v>30</v>
      </c>
      <c r="F15" s="26">
        <f>'2'!$G71</f>
        <v>75</v>
      </c>
      <c r="G15" s="117">
        <f>'2'!$H71</f>
        <v>72</v>
      </c>
      <c r="H15" s="26">
        <f>'3'!$G71</f>
        <v>32</v>
      </c>
      <c r="I15" s="117">
        <f>'3'!$H71</f>
        <v>31</v>
      </c>
      <c r="J15" s="26">
        <f>'4'!$G71</f>
        <v>24</v>
      </c>
      <c r="K15" s="117">
        <f>'4'!$H71</f>
        <v>23</v>
      </c>
      <c r="L15" s="26">
        <f>'5'!$G71</f>
        <v>0</v>
      </c>
      <c r="M15" s="117">
        <f>'5'!$H71</f>
        <v>0</v>
      </c>
      <c r="N15" s="26">
        <f>'6'!$G71</f>
        <v>0</v>
      </c>
      <c r="O15" s="117">
        <f>'6'!$H71</f>
        <v>0</v>
      </c>
      <c r="P15" s="26">
        <f>'7'!$G71</f>
        <v>0</v>
      </c>
      <c r="Q15" s="117">
        <f>'7'!$H71</f>
        <v>0</v>
      </c>
      <c r="R15" s="26">
        <f>'8'!$G71</f>
        <v>0</v>
      </c>
      <c r="S15" s="117">
        <f>'8'!$H71</f>
        <v>0</v>
      </c>
      <c r="T15" s="26">
        <f>'9'!$G71</f>
        <v>0</v>
      </c>
      <c r="U15" s="117">
        <f>'9'!$H71</f>
        <v>0</v>
      </c>
      <c r="V15" s="26">
        <f>'10'!$G71</f>
        <v>0</v>
      </c>
      <c r="W15" s="117">
        <f>'10'!$H71</f>
        <v>0</v>
      </c>
      <c r="X15" s="26">
        <f>'11'!$G71</f>
        <v>0</v>
      </c>
      <c r="Y15" s="117">
        <f>'11'!$H71</f>
        <v>0</v>
      </c>
      <c r="Z15" s="26">
        <f>'12'!$G71</f>
        <v>0</v>
      </c>
      <c r="AA15" s="117">
        <f>'12'!$H71</f>
        <v>0</v>
      </c>
      <c r="AB15" s="26">
        <f>'13'!$G71</f>
        <v>0</v>
      </c>
      <c r="AC15" s="117">
        <f>'13'!$H71</f>
        <v>0</v>
      </c>
      <c r="AD15" s="26">
        <f>'14'!$G71</f>
        <v>0</v>
      </c>
      <c r="AE15" s="117">
        <f>'14'!$H71</f>
        <v>0</v>
      </c>
      <c r="AF15" s="26">
        <f>'15'!$G71</f>
        <v>0</v>
      </c>
      <c r="AG15" s="117">
        <f>'15'!$H71</f>
        <v>0</v>
      </c>
      <c r="AH15" s="26">
        <f>'16'!$G71</f>
        <v>0</v>
      </c>
      <c r="AI15" s="117">
        <f>'16'!$H71</f>
        <v>0</v>
      </c>
      <c r="AJ15" s="26">
        <f>'17'!$G71</f>
        <v>0</v>
      </c>
      <c r="AK15" s="117">
        <f>'17'!$H71</f>
        <v>0</v>
      </c>
      <c r="AL15" s="26">
        <f>'18'!$G71</f>
        <v>0</v>
      </c>
      <c r="AM15" s="117">
        <f>'18'!$H71</f>
        <v>0</v>
      </c>
      <c r="AN15" s="26">
        <f>'19'!$G71</f>
        <v>0</v>
      </c>
      <c r="AO15" s="117">
        <f>'19'!$H71</f>
        <v>0</v>
      </c>
      <c r="AP15" s="26">
        <f>'20'!$G71</f>
        <v>0</v>
      </c>
      <c r="AQ15" s="117">
        <f>'20'!$H71</f>
        <v>0</v>
      </c>
    </row>
    <row r="16" spans="1:46" x14ac:dyDescent="0.2">
      <c r="B16" s="41">
        <f>'1'!B25</f>
        <v>12</v>
      </c>
      <c r="C16" s="42" t="str">
        <f>'1'!C25</f>
        <v>PL Pierna ®</v>
      </c>
      <c r="D16" s="26">
        <f>'1'!$G72</f>
        <v>12</v>
      </c>
      <c r="E16" s="117">
        <f>'1'!$H72</f>
        <v>12</v>
      </c>
      <c r="F16" s="26">
        <f>'2'!$G72</f>
        <v>55</v>
      </c>
      <c r="G16" s="117">
        <f>'2'!$H72</f>
        <v>55</v>
      </c>
      <c r="H16" s="26">
        <f>'3'!$G72</f>
        <v>29</v>
      </c>
      <c r="I16" s="117">
        <f>'3'!$H72</f>
        <v>25</v>
      </c>
      <c r="J16" s="26">
        <f>'4'!$G72</f>
        <v>22</v>
      </c>
      <c r="K16" s="117">
        <f>'4'!$H72</f>
        <v>21</v>
      </c>
      <c r="L16" s="26">
        <f>'5'!$G72</f>
        <v>0</v>
      </c>
      <c r="M16" s="117">
        <f>'5'!$H72</f>
        <v>0</v>
      </c>
      <c r="N16" s="26">
        <f>'6'!$G72</f>
        <v>0</v>
      </c>
      <c r="O16" s="117">
        <f>'6'!$H72</f>
        <v>0</v>
      </c>
      <c r="P16" s="26">
        <f>'7'!$G72</f>
        <v>0</v>
      </c>
      <c r="Q16" s="117">
        <f>'7'!$H72</f>
        <v>0</v>
      </c>
      <c r="R16" s="26">
        <f>'8'!$G72</f>
        <v>0</v>
      </c>
      <c r="S16" s="117">
        <f>'8'!$H72</f>
        <v>0</v>
      </c>
      <c r="T16" s="26">
        <f>'9'!$G72</f>
        <v>0</v>
      </c>
      <c r="U16" s="117">
        <f>'9'!$H72</f>
        <v>0</v>
      </c>
      <c r="V16" s="26">
        <f>'10'!$G72</f>
        <v>0</v>
      </c>
      <c r="W16" s="117">
        <f>'10'!$H72</f>
        <v>0</v>
      </c>
      <c r="X16" s="26">
        <f>'11'!$G72</f>
        <v>0</v>
      </c>
      <c r="Y16" s="117">
        <f>'11'!$H72</f>
        <v>0</v>
      </c>
      <c r="Z16" s="26">
        <f>'12'!$G72</f>
        <v>0</v>
      </c>
      <c r="AA16" s="117">
        <f>'12'!$H72</f>
        <v>0</v>
      </c>
      <c r="AB16" s="26">
        <f>'13'!$G72</f>
        <v>0</v>
      </c>
      <c r="AC16" s="117">
        <f>'13'!$H72</f>
        <v>0</v>
      </c>
      <c r="AD16" s="26">
        <f>'14'!$G72</f>
        <v>0</v>
      </c>
      <c r="AE16" s="117">
        <f>'14'!$H72</f>
        <v>0</v>
      </c>
      <c r="AF16" s="26">
        <f>'15'!$G72</f>
        <v>0</v>
      </c>
      <c r="AG16" s="117">
        <f>'15'!$H72</f>
        <v>0</v>
      </c>
      <c r="AH16" s="26">
        <f>'16'!$G72</f>
        <v>0</v>
      </c>
      <c r="AI16" s="117">
        <f>'16'!$H72</f>
        <v>0</v>
      </c>
      <c r="AJ16" s="26">
        <f>'17'!$G72</f>
        <v>0</v>
      </c>
      <c r="AK16" s="117">
        <f>'17'!$H72</f>
        <v>0</v>
      </c>
      <c r="AL16" s="26">
        <f>'18'!$G72</f>
        <v>0</v>
      </c>
      <c r="AM16" s="117">
        <f>'18'!$H72</f>
        <v>0</v>
      </c>
      <c r="AN16" s="26">
        <f>'19'!$G72</f>
        <v>0</v>
      </c>
      <c r="AO16" s="117">
        <f>'19'!$H72</f>
        <v>0</v>
      </c>
      <c r="AP16" s="26">
        <f>'20'!$G72</f>
        <v>0</v>
      </c>
      <c r="AQ16" s="117">
        <f>'20'!$H72</f>
        <v>0</v>
      </c>
    </row>
    <row r="17" spans="1:46" x14ac:dyDescent="0.2">
      <c r="B17" s="41">
        <f>'1'!B26</f>
        <v>13</v>
      </c>
      <c r="C17" s="42" t="str">
        <f>'1'!C26</f>
        <v>PR Brazo Relajado ®</v>
      </c>
      <c r="D17" s="26" t="e">
        <f>'1'!$G73</f>
        <v>#VALUE!</v>
      </c>
      <c r="E17" s="117" t="e">
        <f>'1'!$H73</f>
        <v>#VALUE!</v>
      </c>
      <c r="F17" s="26">
        <f>'2'!$G73</f>
        <v>36.5</v>
      </c>
      <c r="G17" s="117">
        <f>'2'!$H73</f>
        <v>36.5</v>
      </c>
      <c r="H17" s="26">
        <f>'3'!$G73</f>
        <v>27</v>
      </c>
      <c r="I17" s="117">
        <f>'3'!$H73</f>
        <v>27</v>
      </c>
      <c r="J17" s="26">
        <f>'4'!$G73</f>
        <v>28</v>
      </c>
      <c r="K17" s="117">
        <f>'4'!$H73</f>
        <v>28</v>
      </c>
      <c r="L17" s="26">
        <f>'5'!$G73</f>
        <v>0</v>
      </c>
      <c r="M17" s="117">
        <f>'5'!$H73</f>
        <v>0</v>
      </c>
      <c r="N17" s="26">
        <f>'6'!$G73</f>
        <v>0</v>
      </c>
      <c r="O17" s="117">
        <f>'6'!$H73</f>
        <v>0</v>
      </c>
      <c r="P17" s="26">
        <f>'7'!$G73</f>
        <v>0</v>
      </c>
      <c r="Q17" s="117">
        <f>'7'!$H73</f>
        <v>0</v>
      </c>
      <c r="R17" s="26">
        <f>'8'!$G73</f>
        <v>0</v>
      </c>
      <c r="S17" s="117">
        <f>'8'!$H73</f>
        <v>0</v>
      </c>
      <c r="T17" s="26">
        <f>'9'!$G73</f>
        <v>0</v>
      </c>
      <c r="U17" s="117">
        <f>'9'!$H73</f>
        <v>0</v>
      </c>
      <c r="V17" s="26">
        <f>'10'!$G73</f>
        <v>0</v>
      </c>
      <c r="W17" s="117">
        <f>'10'!$H73</f>
        <v>0</v>
      </c>
      <c r="X17" s="26">
        <f>'11'!$G73</f>
        <v>0</v>
      </c>
      <c r="Y17" s="117">
        <f>'11'!$H73</f>
        <v>0</v>
      </c>
      <c r="Z17" s="26">
        <f>'12'!$G73</f>
        <v>0</v>
      </c>
      <c r="AA17" s="117">
        <f>'12'!$H73</f>
        <v>0</v>
      </c>
      <c r="AB17" s="26">
        <f>'13'!$G73</f>
        <v>0</v>
      </c>
      <c r="AC17" s="117">
        <f>'13'!$H73</f>
        <v>0</v>
      </c>
      <c r="AD17" s="26">
        <f>'14'!$G73</f>
        <v>0</v>
      </c>
      <c r="AE17" s="117">
        <f>'14'!$H73</f>
        <v>0</v>
      </c>
      <c r="AF17" s="26">
        <f>'15'!$G73</f>
        <v>0</v>
      </c>
      <c r="AG17" s="117">
        <f>'15'!$H73</f>
        <v>0</v>
      </c>
      <c r="AH17" s="26">
        <f>'16'!$G73</f>
        <v>0</v>
      </c>
      <c r="AI17" s="117">
        <f>'16'!$H73</f>
        <v>0</v>
      </c>
      <c r="AJ17" s="26">
        <f>'17'!$G73</f>
        <v>0</v>
      </c>
      <c r="AK17" s="117">
        <f>'17'!$H73</f>
        <v>0</v>
      </c>
      <c r="AL17" s="26">
        <f>'18'!$G73</f>
        <v>0</v>
      </c>
      <c r="AM17" s="117">
        <f>'18'!$H73</f>
        <v>0</v>
      </c>
      <c r="AN17" s="26">
        <f>'19'!$G73</f>
        <v>0</v>
      </c>
      <c r="AO17" s="117">
        <f>'19'!$H73</f>
        <v>0</v>
      </c>
      <c r="AP17" s="26">
        <f>'20'!$G73</f>
        <v>0</v>
      </c>
      <c r="AQ17" s="117">
        <f>'20'!$H73</f>
        <v>0</v>
      </c>
    </row>
    <row r="18" spans="1:46" x14ac:dyDescent="0.2">
      <c r="B18" s="41">
        <f>'1'!B27</f>
        <v>14</v>
      </c>
      <c r="C18" s="42" t="str">
        <f>'1'!C27</f>
        <v>PR Brazo Flexionado y Contraído ®</v>
      </c>
      <c r="D18" s="26">
        <f>'1'!$G74</f>
        <v>27</v>
      </c>
      <c r="E18" s="117">
        <f>'1'!$H74</f>
        <v>27</v>
      </c>
      <c r="F18" s="26">
        <f>'2'!$G74</f>
        <v>38</v>
      </c>
      <c r="G18" s="117">
        <f>'2'!$H74</f>
        <v>38</v>
      </c>
      <c r="H18" s="26">
        <f>'3'!$G74</f>
        <v>26</v>
      </c>
      <c r="I18" s="117">
        <f>'3'!$H74</f>
        <v>26</v>
      </c>
      <c r="J18" s="26">
        <f>'4'!$G74</f>
        <v>32</v>
      </c>
      <c r="K18" s="117">
        <f>'4'!$H74</f>
        <v>32</v>
      </c>
      <c r="L18" s="26">
        <f>'5'!$G74</f>
        <v>0</v>
      </c>
      <c r="M18" s="117">
        <f>'5'!$H74</f>
        <v>0</v>
      </c>
      <c r="N18" s="26">
        <f>'6'!$G74</f>
        <v>0</v>
      </c>
      <c r="O18" s="117">
        <f>'6'!$H74</f>
        <v>0</v>
      </c>
      <c r="P18" s="26">
        <f>'7'!$G74</f>
        <v>0</v>
      </c>
      <c r="Q18" s="117">
        <f>'7'!$H74</f>
        <v>0</v>
      </c>
      <c r="R18" s="26">
        <f>'8'!$G74</f>
        <v>0</v>
      </c>
      <c r="S18" s="117">
        <f>'8'!$H74</f>
        <v>0</v>
      </c>
      <c r="T18" s="26">
        <f>'9'!$G74</f>
        <v>0</v>
      </c>
      <c r="U18" s="117">
        <f>'9'!$H74</f>
        <v>0</v>
      </c>
      <c r="V18" s="26">
        <f>'10'!$G74</f>
        <v>0</v>
      </c>
      <c r="W18" s="117">
        <f>'10'!$H74</f>
        <v>0</v>
      </c>
      <c r="X18" s="26">
        <f>'11'!$G74</f>
        <v>0</v>
      </c>
      <c r="Y18" s="117">
        <f>'11'!$H74</f>
        <v>0</v>
      </c>
      <c r="Z18" s="26">
        <f>'12'!$G74</f>
        <v>0</v>
      </c>
      <c r="AA18" s="117">
        <f>'12'!$H74</f>
        <v>0</v>
      </c>
      <c r="AB18" s="26">
        <f>'13'!$G74</f>
        <v>0</v>
      </c>
      <c r="AC18" s="117">
        <f>'13'!$H74</f>
        <v>0</v>
      </c>
      <c r="AD18" s="26">
        <f>'14'!$G74</f>
        <v>0</v>
      </c>
      <c r="AE18" s="117">
        <f>'14'!$H74</f>
        <v>0</v>
      </c>
      <c r="AF18" s="26">
        <f>'15'!$G74</f>
        <v>0</v>
      </c>
      <c r="AG18" s="117">
        <f>'15'!$H74</f>
        <v>0</v>
      </c>
      <c r="AH18" s="26">
        <f>'16'!$G74</f>
        <v>0</v>
      </c>
      <c r="AI18" s="117">
        <f>'16'!$H74</f>
        <v>0</v>
      </c>
      <c r="AJ18" s="26">
        <f>'17'!$G74</f>
        <v>0</v>
      </c>
      <c r="AK18" s="117">
        <f>'17'!$H74</f>
        <v>0</v>
      </c>
      <c r="AL18" s="26">
        <f>'18'!$G74</f>
        <v>0</v>
      </c>
      <c r="AM18" s="117">
        <f>'18'!$H74</f>
        <v>0</v>
      </c>
      <c r="AN18" s="26">
        <f>'19'!$G74</f>
        <v>0</v>
      </c>
      <c r="AO18" s="117">
        <f>'19'!$H74</f>
        <v>0</v>
      </c>
      <c r="AP18" s="26">
        <f>'20'!$G74</f>
        <v>0</v>
      </c>
      <c r="AQ18" s="117">
        <f>'20'!$H74</f>
        <v>0</v>
      </c>
    </row>
    <row r="19" spans="1:46" x14ac:dyDescent="0.2">
      <c r="B19" s="41">
        <f>'1'!B28</f>
        <v>15</v>
      </c>
      <c r="C19" s="42" t="str">
        <f>'1'!C28</f>
        <v>PR Cintura ®</v>
      </c>
      <c r="D19" s="26" t="e">
        <f>'1'!$G75</f>
        <v>#VALUE!</v>
      </c>
      <c r="E19" s="117" t="e">
        <f>'1'!$H75</f>
        <v>#VALUE!</v>
      </c>
      <c r="F19" s="26">
        <f>'2'!$G75</f>
        <v>100</v>
      </c>
      <c r="G19" s="117">
        <f>'2'!$H75</f>
        <v>100</v>
      </c>
      <c r="H19" s="26" t="e">
        <f>'3'!$G75</f>
        <v>#VALUE!</v>
      </c>
      <c r="I19" s="117" t="e">
        <f>'3'!$H75</f>
        <v>#VALUE!</v>
      </c>
      <c r="J19" s="26" t="e">
        <f>'4'!$G75</f>
        <v>#VALUE!</v>
      </c>
      <c r="K19" s="117" t="e">
        <f>'4'!$H75</f>
        <v>#VALUE!</v>
      </c>
      <c r="L19" s="26">
        <f>'5'!$G75</f>
        <v>0</v>
      </c>
      <c r="M19" s="117">
        <f>'5'!$H75</f>
        <v>0</v>
      </c>
      <c r="N19" s="26">
        <f>'6'!$G75</f>
        <v>0</v>
      </c>
      <c r="O19" s="117">
        <f>'6'!$H75</f>
        <v>0</v>
      </c>
      <c r="P19" s="26">
        <f>'7'!$G75</f>
        <v>0</v>
      </c>
      <c r="Q19" s="117">
        <f>'7'!$H75</f>
        <v>0</v>
      </c>
      <c r="R19" s="26">
        <f>'8'!$G75</f>
        <v>0</v>
      </c>
      <c r="S19" s="117">
        <f>'8'!$H75</f>
        <v>0</v>
      </c>
      <c r="T19" s="26">
        <f>'9'!$G75</f>
        <v>0</v>
      </c>
      <c r="U19" s="117">
        <f>'9'!$H75</f>
        <v>0</v>
      </c>
      <c r="V19" s="26">
        <f>'10'!$G75</f>
        <v>0</v>
      </c>
      <c r="W19" s="117">
        <f>'10'!$H75</f>
        <v>0</v>
      </c>
      <c r="X19" s="26">
        <f>'11'!$G75</f>
        <v>0</v>
      </c>
      <c r="Y19" s="117">
        <f>'11'!$H75</f>
        <v>0</v>
      </c>
      <c r="Z19" s="26">
        <f>'12'!$G75</f>
        <v>0</v>
      </c>
      <c r="AA19" s="117">
        <f>'12'!$H75</f>
        <v>0</v>
      </c>
      <c r="AB19" s="26">
        <f>'13'!$G75</f>
        <v>0</v>
      </c>
      <c r="AC19" s="117">
        <f>'13'!$H75</f>
        <v>0</v>
      </c>
      <c r="AD19" s="26">
        <f>'14'!$G75</f>
        <v>0</v>
      </c>
      <c r="AE19" s="117">
        <f>'14'!$H75</f>
        <v>0</v>
      </c>
      <c r="AF19" s="26">
        <f>'15'!$G75</f>
        <v>0</v>
      </c>
      <c r="AG19" s="117">
        <f>'15'!$H75</f>
        <v>0</v>
      </c>
      <c r="AH19" s="26">
        <f>'16'!$G75</f>
        <v>0</v>
      </c>
      <c r="AI19" s="117">
        <f>'16'!$H75</f>
        <v>0</v>
      </c>
      <c r="AJ19" s="26">
        <f>'17'!$G75</f>
        <v>0</v>
      </c>
      <c r="AK19" s="117">
        <f>'17'!$H75</f>
        <v>0</v>
      </c>
      <c r="AL19" s="26">
        <f>'18'!$G75</f>
        <v>0</v>
      </c>
      <c r="AM19" s="117">
        <f>'18'!$H75</f>
        <v>0</v>
      </c>
      <c r="AN19" s="26">
        <f>'19'!$G75</f>
        <v>0</v>
      </c>
      <c r="AO19" s="117">
        <f>'19'!$H75</f>
        <v>0</v>
      </c>
      <c r="AP19" s="26">
        <f>'20'!$G75</f>
        <v>0</v>
      </c>
      <c r="AQ19" s="117">
        <f>'20'!$H75</f>
        <v>0</v>
      </c>
    </row>
    <row r="20" spans="1:46" x14ac:dyDescent="0.2">
      <c r="B20" s="41">
        <f>'1'!B29</f>
        <v>16</v>
      </c>
      <c r="C20" s="42" t="str">
        <f>'1'!C29</f>
        <v>PR Caderas ®</v>
      </c>
      <c r="D20" s="26" t="e">
        <f>'1'!$G76</f>
        <v>#VALUE!</v>
      </c>
      <c r="E20" s="117" t="e">
        <f>'1'!$H76</f>
        <v>#VALUE!</v>
      </c>
      <c r="F20" s="26">
        <f>'2'!$G76</f>
        <v>121.5</v>
      </c>
      <c r="G20" s="117">
        <f>'2'!$H76</f>
        <v>121.5</v>
      </c>
      <c r="H20" s="26">
        <f>'3'!$G76</f>
        <v>97</v>
      </c>
      <c r="I20" s="117">
        <f>'3'!$H76</f>
        <v>97</v>
      </c>
      <c r="J20" s="26">
        <f>'4'!$G76</f>
        <v>100.5</v>
      </c>
      <c r="K20" s="117">
        <f>'4'!$H76</f>
        <v>101</v>
      </c>
      <c r="L20" s="26">
        <f>'5'!$G76</f>
        <v>0</v>
      </c>
      <c r="M20" s="117">
        <f>'5'!$H76</f>
        <v>0</v>
      </c>
      <c r="N20" s="26">
        <f>'6'!$G76</f>
        <v>0</v>
      </c>
      <c r="O20" s="117">
        <f>'6'!$H76</f>
        <v>0</v>
      </c>
      <c r="P20" s="26">
        <f>'7'!$G76</f>
        <v>0</v>
      </c>
      <c r="Q20" s="117">
        <f>'7'!$H76</f>
        <v>0</v>
      </c>
      <c r="R20" s="26">
        <f>'8'!$G76</f>
        <v>0</v>
      </c>
      <c r="S20" s="117">
        <f>'8'!$H76</f>
        <v>0</v>
      </c>
      <c r="T20" s="26">
        <f>'9'!$G76</f>
        <v>0</v>
      </c>
      <c r="U20" s="117">
        <f>'9'!$H76</f>
        <v>0</v>
      </c>
      <c r="V20" s="26">
        <f>'10'!$G76</f>
        <v>0</v>
      </c>
      <c r="W20" s="117">
        <f>'10'!$H76</f>
        <v>0</v>
      </c>
      <c r="X20" s="26">
        <f>'11'!$G76</f>
        <v>0</v>
      </c>
      <c r="Y20" s="117">
        <f>'11'!$H76</f>
        <v>0</v>
      </c>
      <c r="Z20" s="26">
        <f>'12'!$G76</f>
        <v>0</v>
      </c>
      <c r="AA20" s="117">
        <f>'12'!$H76</f>
        <v>0</v>
      </c>
      <c r="AB20" s="26">
        <f>'13'!$G76</f>
        <v>0</v>
      </c>
      <c r="AC20" s="117">
        <f>'13'!$H76</f>
        <v>0</v>
      </c>
      <c r="AD20" s="26">
        <f>'14'!$G76</f>
        <v>0</v>
      </c>
      <c r="AE20" s="117">
        <f>'14'!$H76</f>
        <v>0</v>
      </c>
      <c r="AF20" s="26">
        <f>'15'!$G76</f>
        <v>0</v>
      </c>
      <c r="AG20" s="117">
        <f>'15'!$H76</f>
        <v>0</v>
      </c>
      <c r="AH20" s="26">
        <f>'16'!$G76</f>
        <v>0</v>
      </c>
      <c r="AI20" s="117">
        <f>'16'!$H76</f>
        <v>0</v>
      </c>
      <c r="AJ20" s="26">
        <f>'17'!$G76</f>
        <v>0</v>
      </c>
      <c r="AK20" s="117">
        <f>'17'!$H76</f>
        <v>0</v>
      </c>
      <c r="AL20" s="26">
        <f>'18'!$G76</f>
        <v>0</v>
      </c>
      <c r="AM20" s="117">
        <f>'18'!$H76</f>
        <v>0</v>
      </c>
      <c r="AN20" s="26">
        <f>'19'!$G76</f>
        <v>0</v>
      </c>
      <c r="AO20" s="117">
        <f>'19'!$H76</f>
        <v>0</v>
      </c>
      <c r="AP20" s="26">
        <f>'20'!$G76</f>
        <v>0</v>
      </c>
      <c r="AQ20" s="117">
        <f>'20'!$H76</f>
        <v>0</v>
      </c>
    </row>
    <row r="21" spans="1:46" x14ac:dyDescent="0.2">
      <c r="B21" s="41">
        <f>'1'!B30</f>
        <v>17</v>
      </c>
      <c r="C21" s="42" t="str">
        <f>'1'!C30</f>
        <v>PR Muslo Medio ®</v>
      </c>
      <c r="D21" s="26" t="e">
        <f>'1'!$G77</f>
        <v>#VALUE!</v>
      </c>
      <c r="E21" s="117" t="e">
        <f>'1'!$H77</f>
        <v>#VALUE!</v>
      </c>
      <c r="F21" s="26">
        <f>'2'!$G77</f>
        <v>64.5</v>
      </c>
      <c r="G21" s="117">
        <f>'2'!$H77</f>
        <v>65</v>
      </c>
      <c r="H21" s="26">
        <f>'3'!$G77</f>
        <v>52.5</v>
      </c>
      <c r="I21" s="117">
        <f>'3'!$H77</f>
        <v>52.5</v>
      </c>
      <c r="J21" s="26">
        <f>'4'!$G77</f>
        <v>53.5</v>
      </c>
      <c r="K21" s="117">
        <f>'4'!$H77</f>
        <v>54</v>
      </c>
      <c r="L21" s="26">
        <f>'5'!$G77</f>
        <v>0</v>
      </c>
      <c r="M21" s="117">
        <f>'5'!$H77</f>
        <v>0</v>
      </c>
      <c r="N21" s="26">
        <f>'6'!$G77</f>
        <v>0</v>
      </c>
      <c r="O21" s="117">
        <f>'6'!$H77</f>
        <v>0</v>
      </c>
      <c r="P21" s="26">
        <f>'7'!$G77</f>
        <v>0</v>
      </c>
      <c r="Q21" s="117">
        <f>'7'!$H77</f>
        <v>0</v>
      </c>
      <c r="R21" s="26">
        <f>'8'!$G77</f>
        <v>0</v>
      </c>
      <c r="S21" s="117">
        <f>'8'!$H77</f>
        <v>0</v>
      </c>
      <c r="T21" s="26">
        <f>'9'!$G77</f>
        <v>0</v>
      </c>
      <c r="U21" s="117">
        <f>'9'!$H77</f>
        <v>0</v>
      </c>
      <c r="V21" s="26">
        <f>'10'!$G77</f>
        <v>0</v>
      </c>
      <c r="W21" s="117">
        <f>'10'!$H77</f>
        <v>0</v>
      </c>
      <c r="X21" s="26">
        <f>'11'!$G77</f>
        <v>0</v>
      </c>
      <c r="Y21" s="117">
        <f>'11'!$H77</f>
        <v>0</v>
      </c>
      <c r="Z21" s="26">
        <f>'12'!$G77</f>
        <v>0</v>
      </c>
      <c r="AA21" s="117">
        <f>'12'!$H77</f>
        <v>0</v>
      </c>
      <c r="AB21" s="26">
        <f>'13'!$G77</f>
        <v>0</v>
      </c>
      <c r="AC21" s="117">
        <f>'13'!$H77</f>
        <v>0</v>
      </c>
      <c r="AD21" s="26">
        <f>'14'!$G77</f>
        <v>0</v>
      </c>
      <c r="AE21" s="117">
        <f>'14'!$H77</f>
        <v>0</v>
      </c>
      <c r="AF21" s="26">
        <f>'15'!$G77</f>
        <v>0</v>
      </c>
      <c r="AG21" s="117">
        <f>'15'!$H77</f>
        <v>0</v>
      </c>
      <c r="AH21" s="26">
        <f>'16'!$G77</f>
        <v>0</v>
      </c>
      <c r="AI21" s="117">
        <f>'16'!$H77</f>
        <v>0</v>
      </c>
      <c r="AJ21" s="26">
        <f>'17'!$G77</f>
        <v>0</v>
      </c>
      <c r="AK21" s="117">
        <f>'17'!$H77</f>
        <v>0</v>
      </c>
      <c r="AL21" s="26">
        <f>'18'!$G77</f>
        <v>0</v>
      </c>
      <c r="AM21" s="117">
        <f>'18'!$H77</f>
        <v>0</v>
      </c>
      <c r="AN21" s="26">
        <f>'19'!$G77</f>
        <v>0</v>
      </c>
      <c r="AO21" s="117">
        <f>'19'!$H77</f>
        <v>0</v>
      </c>
      <c r="AP21" s="26">
        <f>'20'!$G77</f>
        <v>0</v>
      </c>
      <c r="AQ21" s="117">
        <f>'20'!$H77</f>
        <v>0</v>
      </c>
    </row>
    <row r="22" spans="1:46" x14ac:dyDescent="0.2">
      <c r="B22" s="41">
        <f>'1'!B31</f>
        <v>18</v>
      </c>
      <c r="C22" s="42" t="str">
        <f>'1'!C31</f>
        <v>PR Pierna ®</v>
      </c>
      <c r="D22" s="26">
        <f>'1'!$G78</f>
        <v>32</v>
      </c>
      <c r="E22" s="117">
        <f>'1'!$H78</f>
        <v>32</v>
      </c>
      <c r="F22" s="26">
        <f>'2'!$G78</f>
        <v>46</v>
      </c>
      <c r="G22" s="117">
        <f>'2'!$H78</f>
        <v>46.1</v>
      </c>
      <c r="H22" s="26" t="e">
        <f>'3'!$G78</f>
        <v>#VALUE!</v>
      </c>
      <c r="I22" s="117" t="e">
        <f>'3'!$H78</f>
        <v>#VALUE!</v>
      </c>
      <c r="J22" s="26" t="e">
        <f>'4'!$G78</f>
        <v>#VALUE!</v>
      </c>
      <c r="K22" s="117" t="e">
        <f>'4'!$H78</f>
        <v>#VALUE!</v>
      </c>
      <c r="L22" s="26">
        <f>'5'!$G78</f>
        <v>0</v>
      </c>
      <c r="M22" s="117">
        <f>'5'!$H78</f>
        <v>0</v>
      </c>
      <c r="N22" s="26">
        <f>'6'!$G78</f>
        <v>0</v>
      </c>
      <c r="O22" s="117">
        <f>'6'!$H78</f>
        <v>0</v>
      </c>
      <c r="P22" s="26">
        <f>'7'!$G78</f>
        <v>0</v>
      </c>
      <c r="Q22" s="117">
        <f>'7'!$H78</f>
        <v>0</v>
      </c>
      <c r="R22" s="26">
        <f>'8'!$G78</f>
        <v>0</v>
      </c>
      <c r="S22" s="117">
        <f>'8'!$H78</f>
        <v>0</v>
      </c>
      <c r="T22" s="26">
        <f>'9'!$G78</f>
        <v>0</v>
      </c>
      <c r="U22" s="117">
        <f>'9'!$H78</f>
        <v>0</v>
      </c>
      <c r="V22" s="26">
        <f>'10'!$G78</f>
        <v>0</v>
      </c>
      <c r="W22" s="117">
        <f>'10'!$H78</f>
        <v>0</v>
      </c>
      <c r="X22" s="26">
        <f>'11'!$G78</f>
        <v>0</v>
      </c>
      <c r="Y22" s="117">
        <f>'11'!$H78</f>
        <v>0</v>
      </c>
      <c r="Z22" s="26">
        <f>'12'!$G78</f>
        <v>0</v>
      </c>
      <c r="AA22" s="117">
        <f>'12'!$H78</f>
        <v>0</v>
      </c>
      <c r="AB22" s="26">
        <f>'13'!$G78</f>
        <v>0</v>
      </c>
      <c r="AC22" s="117">
        <f>'13'!$H78</f>
        <v>0</v>
      </c>
      <c r="AD22" s="26">
        <f>'14'!$G78</f>
        <v>0</v>
      </c>
      <c r="AE22" s="117">
        <f>'14'!$H78</f>
        <v>0</v>
      </c>
      <c r="AF22" s="26">
        <f>'15'!$G78</f>
        <v>0</v>
      </c>
      <c r="AG22" s="117">
        <f>'15'!$H78</f>
        <v>0</v>
      </c>
      <c r="AH22" s="26">
        <f>'16'!$G78</f>
        <v>0</v>
      </c>
      <c r="AI22" s="117">
        <f>'16'!$H78</f>
        <v>0</v>
      </c>
      <c r="AJ22" s="26">
        <f>'17'!$G78</f>
        <v>0</v>
      </c>
      <c r="AK22" s="117">
        <f>'17'!$H78</f>
        <v>0</v>
      </c>
      <c r="AL22" s="26">
        <f>'18'!$G78</f>
        <v>0</v>
      </c>
      <c r="AM22" s="117">
        <f>'18'!$H78</f>
        <v>0</v>
      </c>
      <c r="AN22" s="26">
        <f>'19'!$G78</f>
        <v>0</v>
      </c>
      <c r="AO22" s="117">
        <f>'19'!$H78</f>
        <v>0</v>
      </c>
      <c r="AP22" s="26">
        <f>'20'!$G78</f>
        <v>0</v>
      </c>
      <c r="AQ22" s="117">
        <f>'20'!$H78</f>
        <v>0</v>
      </c>
    </row>
    <row r="23" spans="1:46" x14ac:dyDescent="0.2">
      <c r="B23" s="41">
        <f>'1'!B32</f>
        <v>19</v>
      </c>
      <c r="C23" s="42" t="str">
        <f>'1'!C32</f>
        <v>D Húmero ®</v>
      </c>
      <c r="D23" s="26">
        <f>'1'!$G79</f>
        <v>8.8000000000000007</v>
      </c>
      <c r="E23" s="117">
        <f>'1'!$H79</f>
        <v>8.8000000000000007</v>
      </c>
      <c r="F23" s="26">
        <f>'2'!$G79</f>
        <v>9</v>
      </c>
      <c r="G23" s="117">
        <f>'2'!$H79</f>
        <v>9.1999999999999993</v>
      </c>
      <c r="H23" s="26" t="e">
        <f>'3'!$G79</f>
        <v>#VALUE!</v>
      </c>
      <c r="I23" s="117" t="e">
        <f>'3'!$H79</f>
        <v>#VALUE!</v>
      </c>
      <c r="J23" s="26">
        <f>'4'!$G79</f>
        <v>6.4</v>
      </c>
      <c r="K23" s="117">
        <f>'4'!$H79</f>
        <v>6.4</v>
      </c>
      <c r="L23" s="26">
        <f>'5'!$G79</f>
        <v>0</v>
      </c>
      <c r="M23" s="117">
        <f>'5'!$H79</f>
        <v>0</v>
      </c>
      <c r="N23" s="26">
        <f>'6'!$G79</f>
        <v>0</v>
      </c>
      <c r="O23" s="117">
        <f>'6'!$H79</f>
        <v>0</v>
      </c>
      <c r="P23" s="26">
        <f>'7'!$G79</f>
        <v>0</v>
      </c>
      <c r="Q23" s="117">
        <f>'7'!$H79</f>
        <v>0</v>
      </c>
      <c r="R23" s="26">
        <f>'8'!$G79</f>
        <v>0</v>
      </c>
      <c r="S23" s="117">
        <f>'8'!$H79</f>
        <v>0</v>
      </c>
      <c r="T23" s="26">
        <f>'9'!$G79</f>
        <v>0</v>
      </c>
      <c r="U23" s="117">
        <f>'9'!$H79</f>
        <v>0</v>
      </c>
      <c r="V23" s="26">
        <f>'10'!$G79</f>
        <v>0</v>
      </c>
      <c r="W23" s="117">
        <f>'10'!$H79</f>
        <v>0</v>
      </c>
      <c r="X23" s="26">
        <f>'11'!$G79</f>
        <v>0</v>
      </c>
      <c r="Y23" s="117">
        <f>'11'!$H79</f>
        <v>0</v>
      </c>
      <c r="Z23" s="26">
        <f>'12'!$G79</f>
        <v>0</v>
      </c>
      <c r="AA23" s="117">
        <f>'12'!$H79</f>
        <v>0</v>
      </c>
      <c r="AB23" s="26">
        <f>'13'!$G79</f>
        <v>0</v>
      </c>
      <c r="AC23" s="117">
        <f>'13'!$H79</f>
        <v>0</v>
      </c>
      <c r="AD23" s="26">
        <f>'14'!$G79</f>
        <v>0</v>
      </c>
      <c r="AE23" s="117">
        <f>'14'!$H79</f>
        <v>0</v>
      </c>
      <c r="AF23" s="26">
        <f>'15'!$G79</f>
        <v>0</v>
      </c>
      <c r="AG23" s="117">
        <f>'15'!$H79</f>
        <v>0</v>
      </c>
      <c r="AH23" s="26">
        <f>'16'!$G79</f>
        <v>0</v>
      </c>
      <c r="AI23" s="117">
        <f>'16'!$H79</f>
        <v>0</v>
      </c>
      <c r="AJ23" s="26">
        <f>'17'!$G79</f>
        <v>0</v>
      </c>
      <c r="AK23" s="117">
        <f>'17'!$H79</f>
        <v>0</v>
      </c>
      <c r="AL23" s="26">
        <f>'18'!$G79</f>
        <v>0</v>
      </c>
      <c r="AM23" s="117">
        <f>'18'!$H79</f>
        <v>0</v>
      </c>
      <c r="AN23" s="26">
        <f>'19'!$G79</f>
        <v>0</v>
      </c>
      <c r="AO23" s="117">
        <f>'19'!$H79</f>
        <v>0</v>
      </c>
      <c r="AP23" s="26">
        <f>'20'!$G79</f>
        <v>0</v>
      </c>
      <c r="AQ23" s="117">
        <f>'20'!$H79</f>
        <v>0</v>
      </c>
    </row>
    <row r="24" spans="1:46" x14ac:dyDescent="0.2">
      <c r="B24" s="41">
        <f>'1'!B33</f>
        <v>20</v>
      </c>
      <c r="C24" s="42" t="str">
        <f>'1'!C33</f>
        <v>D Biestiloideo ®</v>
      </c>
      <c r="D24" s="26">
        <f>'1'!$G80</f>
        <v>7</v>
      </c>
      <c r="E24" s="117">
        <f>'1'!$H80</f>
        <v>7</v>
      </c>
      <c r="F24" s="26">
        <f>'2'!$G80</f>
        <v>8.6999999999999993</v>
      </c>
      <c r="G24" s="117">
        <f>'2'!$H80</f>
        <v>8.6999999999999993</v>
      </c>
      <c r="H24" s="26" t="e">
        <f>'3'!$G80</f>
        <v>#VALUE!</v>
      </c>
      <c r="I24" s="117" t="e">
        <f>'3'!$H80</f>
        <v>#VALUE!</v>
      </c>
      <c r="J24" s="26" t="e">
        <f>'4'!$G80</f>
        <v>#VALUE!</v>
      </c>
      <c r="K24" s="117" t="e">
        <f>'4'!$H80</f>
        <v>#VALUE!</v>
      </c>
      <c r="L24" s="26">
        <f>'5'!$G80</f>
        <v>0</v>
      </c>
      <c r="M24" s="117">
        <f>'5'!$H80</f>
        <v>0</v>
      </c>
      <c r="N24" s="26">
        <f>'6'!$G80</f>
        <v>0</v>
      </c>
      <c r="O24" s="117">
        <f>'6'!$H80</f>
        <v>0</v>
      </c>
      <c r="P24" s="26">
        <f>'7'!$G80</f>
        <v>0</v>
      </c>
      <c r="Q24" s="117">
        <f>'7'!$H80</f>
        <v>0</v>
      </c>
      <c r="R24" s="26">
        <f>'8'!$G80</f>
        <v>0</v>
      </c>
      <c r="S24" s="117">
        <f>'8'!$H80</f>
        <v>0</v>
      </c>
      <c r="T24" s="26">
        <f>'9'!$G80</f>
        <v>0</v>
      </c>
      <c r="U24" s="117">
        <f>'9'!$H80</f>
        <v>0</v>
      </c>
      <c r="V24" s="26">
        <f>'10'!$G80</f>
        <v>0</v>
      </c>
      <c r="W24" s="117">
        <f>'10'!$H80</f>
        <v>0</v>
      </c>
      <c r="X24" s="26">
        <f>'11'!$G80</f>
        <v>0</v>
      </c>
      <c r="Y24" s="117">
        <f>'11'!$H80</f>
        <v>0</v>
      </c>
      <c r="Z24" s="26">
        <f>'12'!$G80</f>
        <v>0</v>
      </c>
      <c r="AA24" s="117">
        <f>'12'!$H80</f>
        <v>0</v>
      </c>
      <c r="AB24" s="26">
        <f>'13'!$G80</f>
        <v>0</v>
      </c>
      <c r="AC24" s="117">
        <f>'13'!$H80</f>
        <v>0</v>
      </c>
      <c r="AD24" s="26">
        <f>'14'!$G80</f>
        <v>0</v>
      </c>
      <c r="AE24" s="117">
        <f>'14'!$H80</f>
        <v>0</v>
      </c>
      <c r="AF24" s="26">
        <f>'15'!$G80</f>
        <v>0</v>
      </c>
      <c r="AG24" s="117">
        <f>'15'!$H80</f>
        <v>0</v>
      </c>
      <c r="AH24" s="26">
        <f>'16'!$G80</f>
        <v>0</v>
      </c>
      <c r="AI24" s="117">
        <f>'16'!$H80</f>
        <v>0</v>
      </c>
      <c r="AJ24" s="26">
        <f>'17'!$G80</f>
        <v>0</v>
      </c>
      <c r="AK24" s="117">
        <f>'17'!$H80</f>
        <v>0</v>
      </c>
      <c r="AL24" s="26">
        <f>'18'!$G80</f>
        <v>0</v>
      </c>
      <c r="AM24" s="117">
        <f>'18'!$H80</f>
        <v>0</v>
      </c>
      <c r="AN24" s="26">
        <f>'19'!$G80</f>
        <v>0</v>
      </c>
      <c r="AO24" s="117">
        <f>'19'!$H80</f>
        <v>0</v>
      </c>
      <c r="AP24" s="26">
        <f>'20'!$G80</f>
        <v>0</v>
      </c>
      <c r="AQ24" s="117">
        <f>'20'!$H80</f>
        <v>0</v>
      </c>
    </row>
    <row r="25" spans="1:46" ht="13.5" thickBot="1" x14ac:dyDescent="0.25">
      <c r="B25" s="44">
        <f>'1'!B34</f>
        <v>21</v>
      </c>
      <c r="C25" s="45" t="str">
        <f>'1'!C34</f>
        <v>D Fémur ®</v>
      </c>
      <c r="D25" s="28">
        <f>'1'!$G81</f>
        <v>11</v>
      </c>
      <c r="E25" s="170">
        <f>'1'!$H81</f>
        <v>11</v>
      </c>
      <c r="F25" s="28">
        <f>'2'!$G81</f>
        <v>14</v>
      </c>
      <c r="G25" s="170">
        <f>'2'!$H81</f>
        <v>14.5</v>
      </c>
      <c r="H25" s="28" t="e">
        <f>'3'!$G81</f>
        <v>#VALUE!</v>
      </c>
      <c r="I25" s="170" t="e">
        <f>'3'!$H81</f>
        <v>#VALUE!</v>
      </c>
      <c r="J25" s="28" t="e">
        <f>'4'!$G81</f>
        <v>#VALUE!</v>
      </c>
      <c r="K25" s="170" t="e">
        <f>'4'!$H81</f>
        <v>#VALUE!</v>
      </c>
      <c r="L25" s="28">
        <f>'5'!$G81</f>
        <v>0</v>
      </c>
      <c r="M25" s="170">
        <f>'5'!$H81</f>
        <v>0</v>
      </c>
      <c r="N25" s="28">
        <f>'6'!$G81</f>
        <v>0</v>
      </c>
      <c r="O25" s="170">
        <f>'6'!$H81</f>
        <v>0</v>
      </c>
      <c r="P25" s="28">
        <f>'7'!$G81</f>
        <v>0</v>
      </c>
      <c r="Q25" s="170">
        <f>'7'!$H81</f>
        <v>0</v>
      </c>
      <c r="R25" s="28">
        <f>'8'!$G81</f>
        <v>0</v>
      </c>
      <c r="S25" s="170">
        <f>'8'!$H81</f>
        <v>0</v>
      </c>
      <c r="T25" s="28">
        <f>'9'!$G81</f>
        <v>0</v>
      </c>
      <c r="U25" s="170">
        <f>'9'!$H81</f>
        <v>0</v>
      </c>
      <c r="V25" s="28">
        <f>'10'!$G81</f>
        <v>0</v>
      </c>
      <c r="W25" s="170">
        <f>'10'!$H81</f>
        <v>0</v>
      </c>
      <c r="X25" s="28">
        <f>'11'!$G81</f>
        <v>0</v>
      </c>
      <c r="Y25" s="170">
        <f>'11'!$H81</f>
        <v>0</v>
      </c>
      <c r="Z25" s="28">
        <f>'12'!$G81</f>
        <v>0</v>
      </c>
      <c r="AA25" s="170">
        <f>'12'!$H81</f>
        <v>0</v>
      </c>
      <c r="AB25" s="28">
        <f>'13'!$G81</f>
        <v>0</v>
      </c>
      <c r="AC25" s="170">
        <f>'13'!$H81</f>
        <v>0</v>
      </c>
      <c r="AD25" s="28">
        <f>'14'!$G81</f>
        <v>0</v>
      </c>
      <c r="AE25" s="170">
        <f>'14'!$H81</f>
        <v>0</v>
      </c>
      <c r="AF25" s="28">
        <f>'15'!$G81</f>
        <v>0</v>
      </c>
      <c r="AG25" s="170">
        <f>'15'!$H81</f>
        <v>0</v>
      </c>
      <c r="AH25" s="28">
        <f>'16'!$G81</f>
        <v>0</v>
      </c>
      <c r="AI25" s="170">
        <f>'16'!$H81</f>
        <v>0</v>
      </c>
      <c r="AJ25" s="28">
        <f>'17'!$G81</f>
        <v>0</v>
      </c>
      <c r="AK25" s="170">
        <f>'17'!$H81</f>
        <v>0</v>
      </c>
      <c r="AL25" s="28">
        <f>'18'!$G81</f>
        <v>0</v>
      </c>
      <c r="AM25" s="170">
        <f>'18'!$H81</f>
        <v>0</v>
      </c>
      <c r="AN25" s="28">
        <f>'19'!$G81</f>
        <v>0</v>
      </c>
      <c r="AO25" s="170">
        <f>'19'!$H81</f>
        <v>0</v>
      </c>
      <c r="AP25" s="28">
        <f>'20'!$G81</f>
        <v>0</v>
      </c>
      <c r="AQ25" s="170">
        <f>'20'!$H81</f>
        <v>0</v>
      </c>
    </row>
    <row r="26" spans="1:46" ht="22.9" customHeight="1" x14ac:dyDescent="0.2"/>
    <row r="27" spans="1:46" ht="23.25" x14ac:dyDescent="0.2">
      <c r="A27" s="17"/>
      <c r="B27" s="256" t="str">
        <f>IF(Info!J3, "SUM OF MEASURES", "SUMA DE MEDIDAS")</f>
        <v>SUMA DE MEDIDAS</v>
      </c>
      <c r="C27" s="256"/>
      <c r="D27" s="256"/>
      <c r="E27" s="256"/>
      <c r="F27" s="256"/>
      <c r="G27" s="256"/>
      <c r="H27" s="256"/>
      <c r="I27" s="256"/>
      <c r="J27" s="256"/>
      <c r="K27" s="256"/>
      <c r="L27" s="256"/>
      <c r="M27" s="256"/>
      <c r="N27" s="256"/>
      <c r="O27" s="256"/>
      <c r="P27" s="256"/>
      <c r="Q27" s="256"/>
      <c r="R27" s="256"/>
      <c r="S27" s="256"/>
      <c r="T27" s="256"/>
      <c r="U27" s="256"/>
      <c r="V27" s="256"/>
      <c r="W27" s="256"/>
      <c r="X27" s="256"/>
      <c r="Y27" s="256"/>
      <c r="Z27" s="256"/>
      <c r="AA27" s="256"/>
      <c r="AB27" s="256"/>
      <c r="AC27" s="256"/>
      <c r="AD27" s="256"/>
      <c r="AE27" s="256"/>
      <c r="AF27" s="256"/>
      <c r="AG27" s="256"/>
      <c r="AH27" s="256"/>
      <c r="AI27" s="256"/>
      <c r="AJ27" s="256"/>
      <c r="AK27" s="256"/>
      <c r="AL27" s="256"/>
      <c r="AM27" s="256"/>
      <c r="AN27" s="256"/>
      <c r="AO27" s="256"/>
      <c r="AP27" s="256"/>
      <c r="AQ27" s="256"/>
      <c r="AR27" s="256"/>
      <c r="AS27" s="256"/>
      <c r="AT27" s="256"/>
    </row>
    <row r="28" spans="1:46" ht="13.5" thickBot="1" x14ac:dyDescent="0.25">
      <c r="Y28" s="9"/>
      <c r="Z28" s="9"/>
      <c r="AA28" s="9"/>
      <c r="AB28" s="9"/>
      <c r="AC28" s="9"/>
      <c r="AD28" s="9"/>
      <c r="AE28" s="9"/>
    </row>
    <row r="29" spans="1:46" x14ac:dyDescent="0.2">
      <c r="B29" s="17"/>
      <c r="D29" s="29" t="s">
        <v>0</v>
      </c>
      <c r="E29" s="29" t="s">
        <v>1</v>
      </c>
      <c r="F29" s="29" t="s">
        <v>2</v>
      </c>
      <c r="G29" s="29" t="s">
        <v>3</v>
      </c>
      <c r="H29" s="29" t="s">
        <v>4</v>
      </c>
      <c r="I29" s="29" t="s">
        <v>5</v>
      </c>
      <c r="J29" s="29" t="s">
        <v>6</v>
      </c>
      <c r="K29" s="29" t="s">
        <v>7</v>
      </c>
      <c r="L29" s="29" t="s">
        <v>8</v>
      </c>
      <c r="M29" s="29" t="s">
        <v>9</v>
      </c>
      <c r="N29" s="29" t="s">
        <v>10</v>
      </c>
      <c r="O29" s="29" t="s">
        <v>11</v>
      </c>
      <c r="P29" s="29" t="s">
        <v>12</v>
      </c>
      <c r="Q29" s="29" t="s">
        <v>13</v>
      </c>
      <c r="R29" s="29" t="s">
        <v>14</v>
      </c>
      <c r="S29" s="29" t="s">
        <v>15</v>
      </c>
      <c r="T29" s="29" t="s">
        <v>16</v>
      </c>
      <c r="U29" s="29" t="s">
        <v>17</v>
      </c>
      <c r="V29" s="29" t="s">
        <v>18</v>
      </c>
      <c r="W29" s="29" t="s">
        <v>19</v>
      </c>
      <c r="X29" s="30"/>
      <c r="Y29" s="297" t="str">
        <f>IF(Info!$J$3, "sum(S1 to S20)", "suma (S1 a S20)")</f>
        <v>suma (S1 a S20)</v>
      </c>
      <c r="Z29" s="297"/>
      <c r="AA29" s="297"/>
      <c r="AB29" s="31"/>
      <c r="AC29" s="297" t="str">
        <f>IF(Info!$J$3, "mean", "media")</f>
        <v>media</v>
      </c>
      <c r="AD29" s="297"/>
      <c r="AE29" s="297"/>
    </row>
    <row r="30" spans="1:46" ht="13.5" thickBot="1" x14ac:dyDescent="0.25">
      <c r="B30" s="17"/>
      <c r="C30" s="32"/>
      <c r="D30" s="33" t="str">
        <f>IF(Info!$J$3, "meas 1+2", "med 1+2")</f>
        <v>med 1+2</v>
      </c>
      <c r="E30" s="33" t="str">
        <f>IF(Info!$J$3, "meas 1+2", "med 1+2")</f>
        <v>med 1+2</v>
      </c>
      <c r="F30" s="33" t="str">
        <f>IF(Info!$J$3, "meas 1+2", "med 1+2")</f>
        <v>med 1+2</v>
      </c>
      <c r="G30" s="33" t="str">
        <f>IF(Info!$J$3, "meas 1+2", "med 1+2")</f>
        <v>med 1+2</v>
      </c>
      <c r="H30" s="33" t="str">
        <f>IF(Info!$J$3, "meas 1+2", "med 1+2")</f>
        <v>med 1+2</v>
      </c>
      <c r="I30" s="33" t="str">
        <f>IF(Info!$J$3, "meas 1+2", "med 1+2")</f>
        <v>med 1+2</v>
      </c>
      <c r="J30" s="33" t="str">
        <f>IF(Info!$J$3, "meas 1+2", "med 1+2")</f>
        <v>med 1+2</v>
      </c>
      <c r="K30" s="33" t="str">
        <f>IF(Info!$J$3, "meas 1+2", "med 1+2")</f>
        <v>med 1+2</v>
      </c>
      <c r="L30" s="33" t="str">
        <f>IF(Info!$J$3, "meas 1+2", "med 1+2")</f>
        <v>med 1+2</v>
      </c>
      <c r="M30" s="33" t="str">
        <f>IF(Info!$J$3, "meas 1+2", "med 1+2")</f>
        <v>med 1+2</v>
      </c>
      <c r="N30" s="33" t="str">
        <f>IF(Info!$J$3, "meas 1+2", "med 1+2")</f>
        <v>med 1+2</v>
      </c>
      <c r="O30" s="33" t="str">
        <f>IF(Info!$J$3, "meas 1+2", "med 1+2")</f>
        <v>med 1+2</v>
      </c>
      <c r="P30" s="33" t="str">
        <f>IF(Info!$J$3, "meas 1+2", "med 1+2")</f>
        <v>med 1+2</v>
      </c>
      <c r="Q30" s="33" t="str">
        <f>IF(Info!$J$3, "meas 1+2", "med 1+2")</f>
        <v>med 1+2</v>
      </c>
      <c r="R30" s="33" t="str">
        <f>IF(Info!$J$3, "meas 1+2", "med 1+2")</f>
        <v>med 1+2</v>
      </c>
      <c r="S30" s="33" t="str">
        <f>IF(Info!$J$3, "meas 1+2", "med 1+2")</f>
        <v>med 1+2</v>
      </c>
      <c r="T30" s="33" t="str">
        <f>IF(Info!$J$3, "meas 1+2", "med 1+2")</f>
        <v>med 1+2</v>
      </c>
      <c r="U30" s="33" t="str">
        <f>IF(Info!$J$3, "meas 1+2", "med 1+2")</f>
        <v>med 1+2</v>
      </c>
      <c r="V30" s="33" t="str">
        <f>IF(Info!$J$3, "meas 1+2", "med 1+2")</f>
        <v>med 1+2</v>
      </c>
      <c r="W30" s="33" t="str">
        <f>IF(Info!$J$3, "meas 1+2", "med 1+2")</f>
        <v>med 1+2</v>
      </c>
      <c r="X30" s="30"/>
      <c r="Y30" s="34" t="str">
        <f>IF(Info!$J$3, "measure 1", "medida 1")</f>
        <v>medida 1</v>
      </c>
      <c r="Z30" s="35" t="str">
        <f>IF(Info!$J$3, "measure 2", "medida 2")</f>
        <v>medida 2</v>
      </c>
      <c r="AA30" s="36" t="str">
        <f>IF(Info!$J$3, "meas 1+2", "med 1+2")</f>
        <v>med 1+2</v>
      </c>
      <c r="AB30" s="31"/>
      <c r="AC30" s="34" t="str">
        <f>IF(Info!$J$3, "measure 1", "medida 1")</f>
        <v>medida 1</v>
      </c>
      <c r="AD30" s="35" t="str">
        <f>IF(Info!$J$3, "measure 2", "medida 2")</f>
        <v>medida 2</v>
      </c>
      <c r="AE30" s="36" t="str">
        <f>IF(Info!$J$3, "meas 1+2", "med 1+2")</f>
        <v>med 1+2</v>
      </c>
    </row>
    <row r="31" spans="1:46" x14ac:dyDescent="0.2">
      <c r="B31" s="37">
        <f t="shared" ref="B31:C51" si="0">B5</f>
        <v>1</v>
      </c>
      <c r="C31" s="38" t="str">
        <f t="shared" si="0"/>
        <v>Masa Corporal ®</v>
      </c>
      <c r="D31" s="39">
        <f t="shared" ref="D31:D51" si="1">SUM(D5, E5)</f>
        <v>108.4</v>
      </c>
      <c r="E31" s="39">
        <f t="shared" ref="E31:E51" si="2">SUM(F5, G5)</f>
        <v>216</v>
      </c>
      <c r="F31" s="39">
        <f t="shared" ref="F31:F51" si="3">SUM(H5, I5)</f>
        <v>109.6</v>
      </c>
      <c r="G31" s="39">
        <f t="shared" ref="G31:G51" si="4">SUM(J5, K5)</f>
        <v>143.4</v>
      </c>
      <c r="H31" s="39">
        <f t="shared" ref="H31:H51" si="5">SUM(L5, M5)</f>
        <v>0</v>
      </c>
      <c r="I31" s="39">
        <f t="shared" ref="I31:I51" si="6">SUM(N5, O5)</f>
        <v>0</v>
      </c>
      <c r="J31" s="39">
        <f t="shared" ref="J31:J51" si="7">SUM(P5, Q5)</f>
        <v>0</v>
      </c>
      <c r="K31" s="39">
        <f t="shared" ref="K31:K51" si="8">SUM(R5, S5)</f>
        <v>0</v>
      </c>
      <c r="L31" s="39">
        <f t="shared" ref="L31:L51" si="9">SUM(T5, U5)</f>
        <v>0</v>
      </c>
      <c r="M31" s="39">
        <f t="shared" ref="M31:M51" si="10">SUM(V5, W5)</f>
        <v>0</v>
      </c>
      <c r="N31" s="39">
        <f t="shared" ref="N31:N51" si="11">SUM(X5, Y5)</f>
        <v>0</v>
      </c>
      <c r="O31" s="39">
        <f t="shared" ref="O31:O51" si="12">SUM(Z5, AA5)</f>
        <v>0</v>
      </c>
      <c r="P31" s="39">
        <f t="shared" ref="P31:P51" si="13">SUM(AB5, AC5)</f>
        <v>0</v>
      </c>
      <c r="Q31" s="39">
        <f t="shared" ref="Q31:Q51" si="14">SUM(AD5, AE5)</f>
        <v>0</v>
      </c>
      <c r="R31" s="39">
        <f t="shared" ref="R31:R51" si="15">SUM(AF5, AG5)</f>
        <v>0</v>
      </c>
      <c r="S31" s="39">
        <f t="shared" ref="S31:S51" si="16">SUM(AH5, AI5)</f>
        <v>0</v>
      </c>
      <c r="T31" s="39">
        <f t="shared" ref="T31:T51" si="17">SUM(AJ5, AK5)</f>
        <v>0</v>
      </c>
      <c r="U31" s="39">
        <f t="shared" ref="U31:U51" si="18">SUM(AL5, AM5)</f>
        <v>0</v>
      </c>
      <c r="V31" s="39">
        <f t="shared" ref="V31:V51" si="19">SUM(AN5, AO5)</f>
        <v>0</v>
      </c>
      <c r="W31" s="39">
        <f t="shared" ref="W31:W51" si="20">SUM(AP5, AQ5)</f>
        <v>0</v>
      </c>
      <c r="Y31" s="25">
        <f t="shared" ref="Y31:Y51" si="21">SUM(D5, F5, H5, J5, L5, N5, P5, R5, T5, V5, X5, Z5, AB5, AD5, AF5, AH5, AJ5, AL5, AN5, AP5)</f>
        <v>288.7</v>
      </c>
      <c r="Z31" s="114">
        <f t="shared" ref="Z31:Z51" si="22">SUM(E5, G5, I5, K5, M5, O5, Q5, S5, U5, W5, Y5, AA5, AC5, AE5, AG5, AI5, AK5, AM5, AO5, AQ5)</f>
        <v>288.7</v>
      </c>
      <c r="AA31" s="115">
        <f t="shared" ref="AA31:AA51" si="23">Y31+Z31</f>
        <v>577.4</v>
      </c>
      <c r="AB31" s="40"/>
      <c r="AC31" s="25">
        <f t="shared" ref="AC31:AC51" si="24">Y31/20</f>
        <v>14.434999999999999</v>
      </c>
      <c r="AD31" s="114">
        <f t="shared" ref="AD31:AD51" si="25">Z31/2</f>
        <v>144.35</v>
      </c>
      <c r="AE31" s="115">
        <f t="shared" ref="AE31:AE51" si="26">(AA31)/(20*2)</f>
        <v>14.434999999999999</v>
      </c>
    </row>
    <row r="32" spans="1:46" x14ac:dyDescent="0.2">
      <c r="B32" s="41">
        <f t="shared" si="0"/>
        <v>2</v>
      </c>
      <c r="C32" s="42" t="str">
        <f t="shared" si="0"/>
        <v>Talla ®</v>
      </c>
      <c r="D32" s="43">
        <f t="shared" si="1"/>
        <v>301</v>
      </c>
      <c r="E32" s="43">
        <f t="shared" si="2"/>
        <v>337</v>
      </c>
      <c r="F32" s="43">
        <f t="shared" si="3"/>
        <v>295</v>
      </c>
      <c r="G32" s="43">
        <f t="shared" si="4"/>
        <v>327</v>
      </c>
      <c r="H32" s="43">
        <f t="shared" si="5"/>
        <v>0</v>
      </c>
      <c r="I32" s="43">
        <f t="shared" si="6"/>
        <v>0</v>
      </c>
      <c r="J32" s="43">
        <f t="shared" si="7"/>
        <v>0</v>
      </c>
      <c r="K32" s="43">
        <f t="shared" si="8"/>
        <v>0</v>
      </c>
      <c r="L32" s="43">
        <f t="shared" si="9"/>
        <v>0</v>
      </c>
      <c r="M32" s="43">
        <f t="shared" si="10"/>
        <v>0</v>
      </c>
      <c r="N32" s="43">
        <f t="shared" si="11"/>
        <v>0</v>
      </c>
      <c r="O32" s="43">
        <f t="shared" si="12"/>
        <v>0</v>
      </c>
      <c r="P32" s="43">
        <f t="shared" si="13"/>
        <v>0</v>
      </c>
      <c r="Q32" s="43">
        <f t="shared" si="14"/>
        <v>0</v>
      </c>
      <c r="R32" s="43">
        <f t="shared" si="15"/>
        <v>0</v>
      </c>
      <c r="S32" s="43">
        <f t="shared" si="16"/>
        <v>0</v>
      </c>
      <c r="T32" s="43">
        <f t="shared" si="17"/>
        <v>0</v>
      </c>
      <c r="U32" s="43">
        <f t="shared" si="18"/>
        <v>0</v>
      </c>
      <c r="V32" s="43">
        <f t="shared" si="19"/>
        <v>0</v>
      </c>
      <c r="W32" s="43">
        <f t="shared" si="20"/>
        <v>0</v>
      </c>
      <c r="Y32" s="26">
        <f t="shared" si="21"/>
        <v>630</v>
      </c>
      <c r="Z32" s="116">
        <f t="shared" si="22"/>
        <v>630</v>
      </c>
      <c r="AA32" s="117">
        <f t="shared" si="23"/>
        <v>1260</v>
      </c>
      <c r="AB32" s="40"/>
      <c r="AC32" s="26">
        <f t="shared" si="24"/>
        <v>31.5</v>
      </c>
      <c r="AD32" s="116">
        <f t="shared" si="25"/>
        <v>315</v>
      </c>
      <c r="AE32" s="117">
        <f t="shared" si="26"/>
        <v>31.5</v>
      </c>
    </row>
    <row r="33" spans="2:31" x14ac:dyDescent="0.2">
      <c r="B33" s="41">
        <f t="shared" si="0"/>
        <v>3</v>
      </c>
      <c r="C33" s="42" t="str">
        <f t="shared" si="0"/>
        <v>Talla Sentado ®</v>
      </c>
      <c r="D33" s="43">
        <f t="shared" si="1"/>
        <v>165</v>
      </c>
      <c r="E33" s="43">
        <f t="shared" si="2"/>
        <v>178</v>
      </c>
      <c r="F33" s="43">
        <f t="shared" si="3"/>
        <v>162</v>
      </c>
      <c r="G33" s="43" t="e">
        <f t="shared" si="4"/>
        <v>#VALUE!</v>
      </c>
      <c r="H33" s="43">
        <f t="shared" si="5"/>
        <v>0</v>
      </c>
      <c r="I33" s="43">
        <f t="shared" si="6"/>
        <v>0</v>
      </c>
      <c r="J33" s="43">
        <f t="shared" si="7"/>
        <v>0</v>
      </c>
      <c r="K33" s="43">
        <f t="shared" si="8"/>
        <v>0</v>
      </c>
      <c r="L33" s="43">
        <f t="shared" si="9"/>
        <v>0</v>
      </c>
      <c r="M33" s="43">
        <f t="shared" si="10"/>
        <v>0</v>
      </c>
      <c r="N33" s="43">
        <f t="shared" si="11"/>
        <v>0</v>
      </c>
      <c r="O33" s="43">
        <f t="shared" si="12"/>
        <v>0</v>
      </c>
      <c r="P33" s="43">
        <f t="shared" si="13"/>
        <v>0</v>
      </c>
      <c r="Q33" s="43">
        <f t="shared" si="14"/>
        <v>0</v>
      </c>
      <c r="R33" s="43">
        <f t="shared" si="15"/>
        <v>0</v>
      </c>
      <c r="S33" s="43">
        <f t="shared" si="16"/>
        <v>0</v>
      </c>
      <c r="T33" s="43">
        <f t="shared" si="17"/>
        <v>0</v>
      </c>
      <c r="U33" s="43">
        <f t="shared" si="18"/>
        <v>0</v>
      </c>
      <c r="V33" s="43">
        <f t="shared" si="19"/>
        <v>0</v>
      </c>
      <c r="W33" s="43">
        <f t="shared" si="20"/>
        <v>0</v>
      </c>
      <c r="Y33" s="26" t="e">
        <f t="shared" si="21"/>
        <v>#VALUE!</v>
      </c>
      <c r="Z33" s="116" t="e">
        <f t="shared" si="22"/>
        <v>#VALUE!</v>
      </c>
      <c r="AA33" s="117" t="e">
        <f t="shared" si="23"/>
        <v>#VALUE!</v>
      </c>
      <c r="AB33" s="40"/>
      <c r="AC33" s="26" t="e">
        <f t="shared" si="24"/>
        <v>#VALUE!</v>
      </c>
      <c r="AD33" s="116" t="e">
        <f t="shared" si="25"/>
        <v>#VALUE!</v>
      </c>
      <c r="AE33" s="117" t="e">
        <f t="shared" si="26"/>
        <v>#VALUE!</v>
      </c>
    </row>
    <row r="34" spans="2:31" x14ac:dyDescent="0.2">
      <c r="B34" s="41">
        <f t="shared" si="0"/>
        <v>4</v>
      </c>
      <c r="C34" s="42" t="str">
        <f t="shared" si="0"/>
        <v>Envergadura de Brazos ®</v>
      </c>
      <c r="D34" s="43">
        <f t="shared" si="1"/>
        <v>305</v>
      </c>
      <c r="E34" s="43">
        <f t="shared" si="2"/>
        <v>350</v>
      </c>
      <c r="F34" s="43">
        <f t="shared" si="3"/>
        <v>302</v>
      </c>
      <c r="G34" s="43" t="e">
        <f t="shared" si="4"/>
        <v>#VALUE!</v>
      </c>
      <c r="H34" s="43">
        <f t="shared" si="5"/>
        <v>0</v>
      </c>
      <c r="I34" s="43">
        <f t="shared" si="6"/>
        <v>0</v>
      </c>
      <c r="J34" s="43">
        <f t="shared" si="7"/>
        <v>0</v>
      </c>
      <c r="K34" s="43">
        <f t="shared" si="8"/>
        <v>0</v>
      </c>
      <c r="L34" s="43">
        <f t="shared" si="9"/>
        <v>0</v>
      </c>
      <c r="M34" s="43">
        <f t="shared" si="10"/>
        <v>0</v>
      </c>
      <c r="N34" s="43">
        <f t="shared" si="11"/>
        <v>0</v>
      </c>
      <c r="O34" s="43">
        <f t="shared" si="12"/>
        <v>0</v>
      </c>
      <c r="P34" s="43">
        <f t="shared" si="13"/>
        <v>0</v>
      </c>
      <c r="Q34" s="43">
        <f t="shared" si="14"/>
        <v>0</v>
      </c>
      <c r="R34" s="43">
        <f t="shared" si="15"/>
        <v>0</v>
      </c>
      <c r="S34" s="43">
        <f t="shared" si="16"/>
        <v>0</v>
      </c>
      <c r="T34" s="43">
        <f t="shared" si="17"/>
        <v>0</v>
      </c>
      <c r="U34" s="43">
        <f t="shared" si="18"/>
        <v>0</v>
      </c>
      <c r="V34" s="43">
        <f t="shared" si="19"/>
        <v>0</v>
      </c>
      <c r="W34" s="43">
        <f t="shared" si="20"/>
        <v>0</v>
      </c>
      <c r="Y34" s="26" t="e">
        <f t="shared" si="21"/>
        <v>#VALUE!</v>
      </c>
      <c r="Z34" s="116" t="e">
        <f t="shared" si="22"/>
        <v>#VALUE!</v>
      </c>
      <c r="AA34" s="117" t="e">
        <f t="shared" si="23"/>
        <v>#VALUE!</v>
      </c>
      <c r="AB34" s="40"/>
      <c r="AC34" s="26" t="e">
        <f t="shared" si="24"/>
        <v>#VALUE!</v>
      </c>
      <c r="AD34" s="116" t="e">
        <f t="shared" si="25"/>
        <v>#VALUE!</v>
      </c>
      <c r="AE34" s="117" t="e">
        <f t="shared" si="26"/>
        <v>#VALUE!</v>
      </c>
    </row>
    <row r="35" spans="2:31" x14ac:dyDescent="0.2">
      <c r="B35" s="41">
        <f t="shared" si="0"/>
        <v>5</v>
      </c>
      <c r="C35" s="42" t="str">
        <f t="shared" si="0"/>
        <v>PL Tríceps ®</v>
      </c>
      <c r="D35" s="43">
        <f t="shared" si="1"/>
        <v>35</v>
      </c>
      <c r="E35" s="43">
        <f t="shared" si="2"/>
        <v>81</v>
      </c>
      <c r="F35" s="43">
        <f t="shared" si="3"/>
        <v>53</v>
      </c>
      <c r="G35" s="43">
        <f t="shared" si="4"/>
        <v>62</v>
      </c>
      <c r="H35" s="43">
        <f t="shared" si="5"/>
        <v>0</v>
      </c>
      <c r="I35" s="43">
        <f t="shared" si="6"/>
        <v>0</v>
      </c>
      <c r="J35" s="43">
        <f t="shared" si="7"/>
        <v>0</v>
      </c>
      <c r="K35" s="43">
        <f t="shared" si="8"/>
        <v>0</v>
      </c>
      <c r="L35" s="43">
        <f t="shared" si="9"/>
        <v>0</v>
      </c>
      <c r="M35" s="43">
        <f t="shared" si="10"/>
        <v>0</v>
      </c>
      <c r="N35" s="43">
        <f t="shared" si="11"/>
        <v>0</v>
      </c>
      <c r="O35" s="43">
        <f t="shared" si="12"/>
        <v>0</v>
      </c>
      <c r="P35" s="43">
        <f t="shared" si="13"/>
        <v>0</v>
      </c>
      <c r="Q35" s="43">
        <f t="shared" si="14"/>
        <v>0</v>
      </c>
      <c r="R35" s="43">
        <f t="shared" si="15"/>
        <v>0</v>
      </c>
      <c r="S35" s="43">
        <f t="shared" si="16"/>
        <v>0</v>
      </c>
      <c r="T35" s="43">
        <f t="shared" si="17"/>
        <v>0</v>
      </c>
      <c r="U35" s="43">
        <f t="shared" si="18"/>
        <v>0</v>
      </c>
      <c r="V35" s="43">
        <f t="shared" si="19"/>
        <v>0</v>
      </c>
      <c r="W35" s="43">
        <f t="shared" si="20"/>
        <v>0</v>
      </c>
      <c r="Y35" s="26">
        <f t="shared" si="21"/>
        <v>117</v>
      </c>
      <c r="Z35" s="116">
        <f t="shared" si="22"/>
        <v>114</v>
      </c>
      <c r="AA35" s="117">
        <f t="shared" si="23"/>
        <v>231</v>
      </c>
      <c r="AB35" s="40"/>
      <c r="AC35" s="26">
        <f t="shared" si="24"/>
        <v>5.85</v>
      </c>
      <c r="AD35" s="116">
        <f t="shared" si="25"/>
        <v>57</v>
      </c>
      <c r="AE35" s="117">
        <f t="shared" si="26"/>
        <v>5.7750000000000004</v>
      </c>
    </row>
    <row r="36" spans="2:31" x14ac:dyDescent="0.2">
      <c r="B36" s="41">
        <f t="shared" si="0"/>
        <v>6</v>
      </c>
      <c r="C36" s="42" t="str">
        <f t="shared" si="0"/>
        <v>PL Subescapular ®</v>
      </c>
      <c r="D36" s="43">
        <f t="shared" si="1"/>
        <v>31</v>
      </c>
      <c r="E36" s="43">
        <f t="shared" si="2"/>
        <v>138</v>
      </c>
      <c r="F36" s="43">
        <f t="shared" si="3"/>
        <v>46</v>
      </c>
      <c r="G36" s="43">
        <f t="shared" si="4"/>
        <v>42</v>
      </c>
      <c r="H36" s="43">
        <f t="shared" si="5"/>
        <v>0</v>
      </c>
      <c r="I36" s="43">
        <f t="shared" si="6"/>
        <v>0</v>
      </c>
      <c r="J36" s="43">
        <f t="shared" si="7"/>
        <v>0</v>
      </c>
      <c r="K36" s="43">
        <f t="shared" si="8"/>
        <v>0</v>
      </c>
      <c r="L36" s="43">
        <f t="shared" si="9"/>
        <v>0</v>
      </c>
      <c r="M36" s="43">
        <f t="shared" si="10"/>
        <v>0</v>
      </c>
      <c r="N36" s="43">
        <f t="shared" si="11"/>
        <v>0</v>
      </c>
      <c r="O36" s="43">
        <f t="shared" si="12"/>
        <v>0</v>
      </c>
      <c r="P36" s="43">
        <f t="shared" si="13"/>
        <v>0</v>
      </c>
      <c r="Q36" s="43">
        <f t="shared" si="14"/>
        <v>0</v>
      </c>
      <c r="R36" s="43">
        <f t="shared" si="15"/>
        <v>0</v>
      </c>
      <c r="S36" s="43">
        <f t="shared" si="16"/>
        <v>0</v>
      </c>
      <c r="T36" s="43">
        <f t="shared" si="17"/>
        <v>0</v>
      </c>
      <c r="U36" s="43">
        <f t="shared" si="18"/>
        <v>0</v>
      </c>
      <c r="V36" s="43">
        <f t="shared" si="19"/>
        <v>0</v>
      </c>
      <c r="W36" s="43">
        <f t="shared" si="20"/>
        <v>0</v>
      </c>
      <c r="Y36" s="26">
        <f t="shared" si="21"/>
        <v>126</v>
      </c>
      <c r="Z36" s="116">
        <f t="shared" si="22"/>
        <v>131</v>
      </c>
      <c r="AA36" s="117">
        <f t="shared" si="23"/>
        <v>257</v>
      </c>
      <c r="AB36" s="40"/>
      <c r="AC36" s="26">
        <f t="shared" si="24"/>
        <v>6.3</v>
      </c>
      <c r="AD36" s="116">
        <f t="shared" si="25"/>
        <v>65.5</v>
      </c>
      <c r="AE36" s="117">
        <f t="shared" si="26"/>
        <v>6.4249999999999998</v>
      </c>
    </row>
    <row r="37" spans="2:31" x14ac:dyDescent="0.2">
      <c r="B37" s="41">
        <f t="shared" si="0"/>
        <v>7</v>
      </c>
      <c r="C37" s="42" t="str">
        <f t="shared" si="0"/>
        <v>PL Bíceps ®</v>
      </c>
      <c r="D37" s="43">
        <f t="shared" si="1"/>
        <v>28</v>
      </c>
      <c r="E37" s="43">
        <f t="shared" si="2"/>
        <v>40</v>
      </c>
      <c r="F37" s="43">
        <f t="shared" si="3"/>
        <v>12</v>
      </c>
      <c r="G37" s="43">
        <f t="shared" si="4"/>
        <v>30</v>
      </c>
      <c r="H37" s="43">
        <f t="shared" si="5"/>
        <v>0</v>
      </c>
      <c r="I37" s="43">
        <f t="shared" si="6"/>
        <v>0</v>
      </c>
      <c r="J37" s="43">
        <f t="shared" si="7"/>
        <v>0</v>
      </c>
      <c r="K37" s="43">
        <f t="shared" si="8"/>
        <v>0</v>
      </c>
      <c r="L37" s="43">
        <f t="shared" si="9"/>
        <v>0</v>
      </c>
      <c r="M37" s="43">
        <f t="shared" si="10"/>
        <v>0</v>
      </c>
      <c r="N37" s="43">
        <f t="shared" si="11"/>
        <v>0</v>
      </c>
      <c r="O37" s="43">
        <f t="shared" si="12"/>
        <v>0</v>
      </c>
      <c r="P37" s="43">
        <f t="shared" si="13"/>
        <v>0</v>
      </c>
      <c r="Q37" s="43">
        <f t="shared" si="14"/>
        <v>0</v>
      </c>
      <c r="R37" s="43">
        <f t="shared" si="15"/>
        <v>0</v>
      </c>
      <c r="S37" s="43">
        <f t="shared" si="16"/>
        <v>0</v>
      </c>
      <c r="T37" s="43">
        <f t="shared" si="17"/>
        <v>0</v>
      </c>
      <c r="U37" s="43">
        <f t="shared" si="18"/>
        <v>0</v>
      </c>
      <c r="V37" s="43">
        <f t="shared" si="19"/>
        <v>0</v>
      </c>
      <c r="W37" s="43">
        <f t="shared" si="20"/>
        <v>0</v>
      </c>
      <c r="Y37" s="26">
        <f t="shared" si="21"/>
        <v>54</v>
      </c>
      <c r="Z37" s="116">
        <f t="shared" si="22"/>
        <v>56</v>
      </c>
      <c r="AA37" s="117">
        <f t="shared" si="23"/>
        <v>110</v>
      </c>
      <c r="AB37" s="40"/>
      <c r="AC37" s="26">
        <f t="shared" si="24"/>
        <v>2.7</v>
      </c>
      <c r="AD37" s="116">
        <f t="shared" si="25"/>
        <v>28</v>
      </c>
      <c r="AE37" s="117">
        <f t="shared" si="26"/>
        <v>2.75</v>
      </c>
    </row>
    <row r="38" spans="2:31" x14ac:dyDescent="0.2">
      <c r="B38" s="41">
        <f t="shared" si="0"/>
        <v>8</v>
      </c>
      <c r="C38" s="42" t="str">
        <f t="shared" si="0"/>
        <v>PL Cresta Ilíaca ®</v>
      </c>
      <c r="D38" s="43">
        <f t="shared" si="1"/>
        <v>29</v>
      </c>
      <c r="E38" s="43">
        <f t="shared" si="2"/>
        <v>100</v>
      </c>
      <c r="F38" s="43">
        <f t="shared" si="3"/>
        <v>36</v>
      </c>
      <c r="G38" s="43">
        <f t="shared" si="4"/>
        <v>41</v>
      </c>
      <c r="H38" s="43">
        <f t="shared" si="5"/>
        <v>0</v>
      </c>
      <c r="I38" s="43">
        <f t="shared" si="6"/>
        <v>0</v>
      </c>
      <c r="J38" s="43">
        <f t="shared" si="7"/>
        <v>0</v>
      </c>
      <c r="K38" s="43">
        <f t="shared" si="8"/>
        <v>0</v>
      </c>
      <c r="L38" s="43">
        <f t="shared" si="9"/>
        <v>0</v>
      </c>
      <c r="M38" s="43">
        <f t="shared" si="10"/>
        <v>0</v>
      </c>
      <c r="N38" s="43">
        <f t="shared" si="11"/>
        <v>0</v>
      </c>
      <c r="O38" s="43">
        <f t="shared" si="12"/>
        <v>0</v>
      </c>
      <c r="P38" s="43">
        <f t="shared" si="13"/>
        <v>0</v>
      </c>
      <c r="Q38" s="43">
        <f t="shared" si="14"/>
        <v>0</v>
      </c>
      <c r="R38" s="43">
        <f t="shared" si="15"/>
        <v>0</v>
      </c>
      <c r="S38" s="43">
        <f t="shared" si="16"/>
        <v>0</v>
      </c>
      <c r="T38" s="43">
        <f t="shared" si="17"/>
        <v>0</v>
      </c>
      <c r="U38" s="43">
        <f t="shared" si="18"/>
        <v>0</v>
      </c>
      <c r="V38" s="43">
        <f t="shared" si="19"/>
        <v>0</v>
      </c>
      <c r="W38" s="43">
        <f t="shared" si="20"/>
        <v>0</v>
      </c>
      <c r="Y38" s="26">
        <f t="shared" si="21"/>
        <v>102</v>
      </c>
      <c r="Z38" s="116">
        <f t="shared" si="22"/>
        <v>104</v>
      </c>
      <c r="AA38" s="117">
        <f t="shared" si="23"/>
        <v>206</v>
      </c>
      <c r="AB38" s="40"/>
      <c r="AC38" s="26">
        <f t="shared" si="24"/>
        <v>5.0999999999999996</v>
      </c>
      <c r="AD38" s="116">
        <f t="shared" si="25"/>
        <v>52</v>
      </c>
      <c r="AE38" s="117">
        <f t="shared" si="26"/>
        <v>5.15</v>
      </c>
    </row>
    <row r="39" spans="2:31" x14ac:dyDescent="0.2">
      <c r="B39" s="41">
        <f t="shared" si="0"/>
        <v>9</v>
      </c>
      <c r="C39" s="42" t="str">
        <f t="shared" si="0"/>
        <v>PL Supraespinal ®</v>
      </c>
      <c r="D39" s="43">
        <f t="shared" si="1"/>
        <v>21</v>
      </c>
      <c r="E39" s="43">
        <f t="shared" si="2"/>
        <v>98</v>
      </c>
      <c r="F39" s="43">
        <f t="shared" si="3"/>
        <v>29</v>
      </c>
      <c r="G39" s="43">
        <f t="shared" si="4"/>
        <v>51</v>
      </c>
      <c r="H39" s="43">
        <f t="shared" si="5"/>
        <v>0</v>
      </c>
      <c r="I39" s="43">
        <f t="shared" si="6"/>
        <v>0</v>
      </c>
      <c r="J39" s="43">
        <f t="shared" si="7"/>
        <v>0</v>
      </c>
      <c r="K39" s="43">
        <f t="shared" si="8"/>
        <v>0</v>
      </c>
      <c r="L39" s="43">
        <f t="shared" si="9"/>
        <v>0</v>
      </c>
      <c r="M39" s="43">
        <f t="shared" si="10"/>
        <v>0</v>
      </c>
      <c r="N39" s="43">
        <f t="shared" si="11"/>
        <v>0</v>
      </c>
      <c r="O39" s="43">
        <f t="shared" si="12"/>
        <v>0</v>
      </c>
      <c r="P39" s="43">
        <f t="shared" si="13"/>
        <v>0</v>
      </c>
      <c r="Q39" s="43">
        <f t="shared" si="14"/>
        <v>0</v>
      </c>
      <c r="R39" s="43">
        <f t="shared" si="15"/>
        <v>0</v>
      </c>
      <c r="S39" s="43">
        <f t="shared" si="16"/>
        <v>0</v>
      </c>
      <c r="T39" s="43">
        <f t="shared" si="17"/>
        <v>0</v>
      </c>
      <c r="U39" s="43">
        <f t="shared" si="18"/>
        <v>0</v>
      </c>
      <c r="V39" s="43">
        <f t="shared" si="19"/>
        <v>0</v>
      </c>
      <c r="W39" s="43">
        <f t="shared" si="20"/>
        <v>0</v>
      </c>
      <c r="Y39" s="26">
        <f t="shared" si="21"/>
        <v>101</v>
      </c>
      <c r="Z39" s="116">
        <f t="shared" si="22"/>
        <v>98</v>
      </c>
      <c r="AA39" s="117">
        <f t="shared" si="23"/>
        <v>199</v>
      </c>
      <c r="AB39" s="40"/>
      <c r="AC39" s="26">
        <f t="shared" si="24"/>
        <v>5.05</v>
      </c>
      <c r="AD39" s="116">
        <f t="shared" si="25"/>
        <v>49</v>
      </c>
      <c r="AE39" s="117">
        <f t="shared" si="26"/>
        <v>4.9749999999999996</v>
      </c>
    </row>
    <row r="40" spans="2:31" x14ac:dyDescent="0.2">
      <c r="B40" s="41">
        <f t="shared" si="0"/>
        <v>10</v>
      </c>
      <c r="C40" s="42" t="str">
        <f t="shared" si="0"/>
        <v>PL Abdominal ®</v>
      </c>
      <c r="D40" s="43">
        <f t="shared" si="1"/>
        <v>24</v>
      </c>
      <c r="E40" s="43">
        <f t="shared" si="2"/>
        <v>160</v>
      </c>
      <c r="F40" s="43">
        <f t="shared" si="3"/>
        <v>48</v>
      </c>
      <c r="G40" s="43">
        <f t="shared" si="4"/>
        <v>58</v>
      </c>
      <c r="H40" s="43">
        <f t="shared" si="5"/>
        <v>0</v>
      </c>
      <c r="I40" s="43">
        <f t="shared" si="6"/>
        <v>0</v>
      </c>
      <c r="J40" s="43">
        <f t="shared" si="7"/>
        <v>0</v>
      </c>
      <c r="K40" s="43">
        <f t="shared" si="8"/>
        <v>0</v>
      </c>
      <c r="L40" s="43">
        <f t="shared" si="9"/>
        <v>0</v>
      </c>
      <c r="M40" s="43">
        <f t="shared" si="10"/>
        <v>0</v>
      </c>
      <c r="N40" s="43">
        <f t="shared" si="11"/>
        <v>0</v>
      </c>
      <c r="O40" s="43">
        <f t="shared" si="12"/>
        <v>0</v>
      </c>
      <c r="P40" s="43">
        <f t="shared" si="13"/>
        <v>0</v>
      </c>
      <c r="Q40" s="43">
        <f t="shared" si="14"/>
        <v>0</v>
      </c>
      <c r="R40" s="43">
        <f t="shared" si="15"/>
        <v>0</v>
      </c>
      <c r="S40" s="43">
        <f t="shared" si="16"/>
        <v>0</v>
      </c>
      <c r="T40" s="43">
        <f t="shared" si="17"/>
        <v>0</v>
      </c>
      <c r="U40" s="43">
        <f t="shared" si="18"/>
        <v>0</v>
      </c>
      <c r="V40" s="43">
        <f t="shared" si="19"/>
        <v>0</v>
      </c>
      <c r="W40" s="43">
        <f t="shared" si="20"/>
        <v>0</v>
      </c>
      <c r="Y40" s="26">
        <f t="shared" si="21"/>
        <v>145</v>
      </c>
      <c r="Z40" s="116">
        <f t="shared" si="22"/>
        <v>145</v>
      </c>
      <c r="AA40" s="117">
        <f t="shared" si="23"/>
        <v>290</v>
      </c>
      <c r="AB40" s="40"/>
      <c r="AC40" s="26">
        <f t="shared" si="24"/>
        <v>7.25</v>
      </c>
      <c r="AD40" s="116">
        <f t="shared" si="25"/>
        <v>72.5</v>
      </c>
      <c r="AE40" s="117">
        <f t="shared" si="26"/>
        <v>7.25</v>
      </c>
    </row>
    <row r="41" spans="2:31" x14ac:dyDescent="0.2">
      <c r="B41" s="41">
        <f t="shared" si="0"/>
        <v>11</v>
      </c>
      <c r="C41" s="42" t="str">
        <f t="shared" si="0"/>
        <v>PL Muslo ®</v>
      </c>
      <c r="D41" s="43">
        <f t="shared" si="1"/>
        <v>61</v>
      </c>
      <c r="E41" s="43">
        <f t="shared" si="2"/>
        <v>147</v>
      </c>
      <c r="F41" s="43">
        <f t="shared" si="3"/>
        <v>63</v>
      </c>
      <c r="G41" s="43">
        <f t="shared" si="4"/>
        <v>47</v>
      </c>
      <c r="H41" s="43">
        <f t="shared" si="5"/>
        <v>0</v>
      </c>
      <c r="I41" s="43">
        <f t="shared" si="6"/>
        <v>0</v>
      </c>
      <c r="J41" s="43">
        <f t="shared" si="7"/>
        <v>0</v>
      </c>
      <c r="K41" s="43">
        <f t="shared" si="8"/>
        <v>0</v>
      </c>
      <c r="L41" s="43">
        <f t="shared" si="9"/>
        <v>0</v>
      </c>
      <c r="M41" s="43">
        <f t="shared" si="10"/>
        <v>0</v>
      </c>
      <c r="N41" s="43">
        <f t="shared" si="11"/>
        <v>0</v>
      </c>
      <c r="O41" s="43">
        <f t="shared" si="12"/>
        <v>0</v>
      </c>
      <c r="P41" s="43">
        <f t="shared" si="13"/>
        <v>0</v>
      </c>
      <c r="Q41" s="43">
        <f t="shared" si="14"/>
        <v>0</v>
      </c>
      <c r="R41" s="43">
        <f t="shared" si="15"/>
        <v>0</v>
      </c>
      <c r="S41" s="43">
        <f t="shared" si="16"/>
        <v>0</v>
      </c>
      <c r="T41" s="43">
        <f t="shared" si="17"/>
        <v>0</v>
      </c>
      <c r="U41" s="43">
        <f t="shared" si="18"/>
        <v>0</v>
      </c>
      <c r="V41" s="43">
        <f t="shared" si="19"/>
        <v>0</v>
      </c>
      <c r="W41" s="43">
        <f t="shared" si="20"/>
        <v>0</v>
      </c>
      <c r="Y41" s="26">
        <f t="shared" si="21"/>
        <v>162</v>
      </c>
      <c r="Z41" s="116">
        <f t="shared" si="22"/>
        <v>156</v>
      </c>
      <c r="AA41" s="117">
        <f t="shared" si="23"/>
        <v>318</v>
      </c>
      <c r="AB41" s="40"/>
      <c r="AC41" s="26">
        <f t="shared" si="24"/>
        <v>8.1</v>
      </c>
      <c r="AD41" s="116">
        <f t="shared" si="25"/>
        <v>78</v>
      </c>
      <c r="AE41" s="117">
        <f t="shared" si="26"/>
        <v>7.95</v>
      </c>
    </row>
    <row r="42" spans="2:31" x14ac:dyDescent="0.2">
      <c r="B42" s="41">
        <f t="shared" si="0"/>
        <v>12</v>
      </c>
      <c r="C42" s="42" t="str">
        <f t="shared" si="0"/>
        <v>PL Pierna ®</v>
      </c>
      <c r="D42" s="43">
        <f t="shared" si="1"/>
        <v>24</v>
      </c>
      <c r="E42" s="43">
        <f t="shared" si="2"/>
        <v>110</v>
      </c>
      <c r="F42" s="43">
        <f t="shared" si="3"/>
        <v>54</v>
      </c>
      <c r="G42" s="43">
        <f t="shared" si="4"/>
        <v>43</v>
      </c>
      <c r="H42" s="43">
        <f t="shared" si="5"/>
        <v>0</v>
      </c>
      <c r="I42" s="43">
        <f t="shared" si="6"/>
        <v>0</v>
      </c>
      <c r="J42" s="43">
        <f t="shared" si="7"/>
        <v>0</v>
      </c>
      <c r="K42" s="43">
        <f t="shared" si="8"/>
        <v>0</v>
      </c>
      <c r="L42" s="43">
        <f t="shared" si="9"/>
        <v>0</v>
      </c>
      <c r="M42" s="43">
        <f t="shared" si="10"/>
        <v>0</v>
      </c>
      <c r="N42" s="43">
        <f t="shared" si="11"/>
        <v>0</v>
      </c>
      <c r="O42" s="43">
        <f t="shared" si="12"/>
        <v>0</v>
      </c>
      <c r="P42" s="43">
        <f t="shared" si="13"/>
        <v>0</v>
      </c>
      <c r="Q42" s="43">
        <f t="shared" si="14"/>
        <v>0</v>
      </c>
      <c r="R42" s="43">
        <f t="shared" si="15"/>
        <v>0</v>
      </c>
      <c r="S42" s="43">
        <f t="shared" si="16"/>
        <v>0</v>
      </c>
      <c r="T42" s="43">
        <f t="shared" si="17"/>
        <v>0</v>
      </c>
      <c r="U42" s="43">
        <f t="shared" si="18"/>
        <v>0</v>
      </c>
      <c r="V42" s="43">
        <f t="shared" si="19"/>
        <v>0</v>
      </c>
      <c r="W42" s="43">
        <f t="shared" si="20"/>
        <v>0</v>
      </c>
      <c r="Y42" s="26">
        <f t="shared" si="21"/>
        <v>118</v>
      </c>
      <c r="Z42" s="116">
        <f t="shared" si="22"/>
        <v>113</v>
      </c>
      <c r="AA42" s="117">
        <f t="shared" si="23"/>
        <v>231</v>
      </c>
      <c r="AB42" s="40"/>
      <c r="AC42" s="26">
        <f t="shared" si="24"/>
        <v>5.9</v>
      </c>
      <c r="AD42" s="116">
        <f t="shared" si="25"/>
        <v>56.5</v>
      </c>
      <c r="AE42" s="117">
        <f t="shared" si="26"/>
        <v>5.7750000000000004</v>
      </c>
    </row>
    <row r="43" spans="2:31" x14ac:dyDescent="0.2">
      <c r="B43" s="41">
        <f t="shared" si="0"/>
        <v>13</v>
      </c>
      <c r="C43" s="42" t="str">
        <f t="shared" si="0"/>
        <v>PR Brazo Relajado ®</v>
      </c>
      <c r="D43" s="43" t="e">
        <f t="shared" si="1"/>
        <v>#VALUE!</v>
      </c>
      <c r="E43" s="43">
        <f t="shared" si="2"/>
        <v>73</v>
      </c>
      <c r="F43" s="43">
        <f t="shared" si="3"/>
        <v>54</v>
      </c>
      <c r="G43" s="43">
        <f t="shared" si="4"/>
        <v>56</v>
      </c>
      <c r="H43" s="43">
        <f t="shared" si="5"/>
        <v>0</v>
      </c>
      <c r="I43" s="43">
        <f t="shared" si="6"/>
        <v>0</v>
      </c>
      <c r="J43" s="43">
        <f t="shared" si="7"/>
        <v>0</v>
      </c>
      <c r="K43" s="43">
        <f t="shared" si="8"/>
        <v>0</v>
      </c>
      <c r="L43" s="43">
        <f t="shared" si="9"/>
        <v>0</v>
      </c>
      <c r="M43" s="43">
        <f t="shared" si="10"/>
        <v>0</v>
      </c>
      <c r="N43" s="43">
        <f t="shared" si="11"/>
        <v>0</v>
      </c>
      <c r="O43" s="43">
        <f t="shared" si="12"/>
        <v>0</v>
      </c>
      <c r="P43" s="43">
        <f t="shared" si="13"/>
        <v>0</v>
      </c>
      <c r="Q43" s="43">
        <f t="shared" si="14"/>
        <v>0</v>
      </c>
      <c r="R43" s="43">
        <f t="shared" si="15"/>
        <v>0</v>
      </c>
      <c r="S43" s="43">
        <f t="shared" si="16"/>
        <v>0</v>
      </c>
      <c r="T43" s="43">
        <f t="shared" si="17"/>
        <v>0</v>
      </c>
      <c r="U43" s="43">
        <f t="shared" si="18"/>
        <v>0</v>
      </c>
      <c r="V43" s="43">
        <f t="shared" si="19"/>
        <v>0</v>
      </c>
      <c r="W43" s="43">
        <f t="shared" si="20"/>
        <v>0</v>
      </c>
      <c r="Y43" s="26" t="e">
        <f t="shared" si="21"/>
        <v>#VALUE!</v>
      </c>
      <c r="Z43" s="116" t="e">
        <f t="shared" si="22"/>
        <v>#VALUE!</v>
      </c>
      <c r="AA43" s="117" t="e">
        <f t="shared" si="23"/>
        <v>#VALUE!</v>
      </c>
      <c r="AB43" s="40"/>
      <c r="AC43" s="26" t="e">
        <f t="shared" si="24"/>
        <v>#VALUE!</v>
      </c>
      <c r="AD43" s="116" t="e">
        <f t="shared" si="25"/>
        <v>#VALUE!</v>
      </c>
      <c r="AE43" s="117" t="e">
        <f t="shared" si="26"/>
        <v>#VALUE!</v>
      </c>
    </row>
    <row r="44" spans="2:31" x14ac:dyDescent="0.2">
      <c r="B44" s="41">
        <f t="shared" si="0"/>
        <v>14</v>
      </c>
      <c r="C44" s="42" t="str">
        <f t="shared" si="0"/>
        <v>PR Brazo Flexionado y Contraído ®</v>
      </c>
      <c r="D44" s="43">
        <f t="shared" si="1"/>
        <v>54</v>
      </c>
      <c r="E44" s="43">
        <f t="shared" si="2"/>
        <v>76</v>
      </c>
      <c r="F44" s="43">
        <f t="shared" si="3"/>
        <v>52</v>
      </c>
      <c r="G44" s="43">
        <f t="shared" si="4"/>
        <v>64</v>
      </c>
      <c r="H44" s="43">
        <f t="shared" si="5"/>
        <v>0</v>
      </c>
      <c r="I44" s="43">
        <f t="shared" si="6"/>
        <v>0</v>
      </c>
      <c r="J44" s="43">
        <f t="shared" si="7"/>
        <v>0</v>
      </c>
      <c r="K44" s="43">
        <f t="shared" si="8"/>
        <v>0</v>
      </c>
      <c r="L44" s="43">
        <f t="shared" si="9"/>
        <v>0</v>
      </c>
      <c r="M44" s="43">
        <f t="shared" si="10"/>
        <v>0</v>
      </c>
      <c r="N44" s="43">
        <f t="shared" si="11"/>
        <v>0</v>
      </c>
      <c r="O44" s="43">
        <f t="shared" si="12"/>
        <v>0</v>
      </c>
      <c r="P44" s="43">
        <f t="shared" si="13"/>
        <v>0</v>
      </c>
      <c r="Q44" s="43">
        <f t="shared" si="14"/>
        <v>0</v>
      </c>
      <c r="R44" s="43">
        <f t="shared" si="15"/>
        <v>0</v>
      </c>
      <c r="S44" s="43">
        <f t="shared" si="16"/>
        <v>0</v>
      </c>
      <c r="T44" s="43">
        <f t="shared" si="17"/>
        <v>0</v>
      </c>
      <c r="U44" s="43">
        <f t="shared" si="18"/>
        <v>0</v>
      </c>
      <c r="V44" s="43">
        <f t="shared" si="19"/>
        <v>0</v>
      </c>
      <c r="W44" s="43">
        <f t="shared" si="20"/>
        <v>0</v>
      </c>
      <c r="Y44" s="26">
        <f t="shared" si="21"/>
        <v>123</v>
      </c>
      <c r="Z44" s="116">
        <f t="shared" si="22"/>
        <v>123</v>
      </c>
      <c r="AA44" s="117">
        <f t="shared" si="23"/>
        <v>246</v>
      </c>
      <c r="AB44" s="40"/>
      <c r="AC44" s="26">
        <f t="shared" si="24"/>
        <v>6.15</v>
      </c>
      <c r="AD44" s="116">
        <f t="shared" si="25"/>
        <v>61.5</v>
      </c>
      <c r="AE44" s="117">
        <f t="shared" si="26"/>
        <v>6.15</v>
      </c>
    </row>
    <row r="45" spans="2:31" x14ac:dyDescent="0.2">
      <c r="B45" s="41">
        <f t="shared" si="0"/>
        <v>15</v>
      </c>
      <c r="C45" s="42" t="str">
        <f t="shared" si="0"/>
        <v>PR Cintura ®</v>
      </c>
      <c r="D45" s="43" t="e">
        <f t="shared" si="1"/>
        <v>#VALUE!</v>
      </c>
      <c r="E45" s="43">
        <f t="shared" si="2"/>
        <v>200</v>
      </c>
      <c r="F45" s="43" t="e">
        <f t="shared" si="3"/>
        <v>#VALUE!</v>
      </c>
      <c r="G45" s="43" t="e">
        <f t="shared" si="4"/>
        <v>#VALUE!</v>
      </c>
      <c r="H45" s="43">
        <f t="shared" si="5"/>
        <v>0</v>
      </c>
      <c r="I45" s="43">
        <f t="shared" si="6"/>
        <v>0</v>
      </c>
      <c r="J45" s="43">
        <f t="shared" si="7"/>
        <v>0</v>
      </c>
      <c r="K45" s="43">
        <f t="shared" si="8"/>
        <v>0</v>
      </c>
      <c r="L45" s="43">
        <f t="shared" si="9"/>
        <v>0</v>
      </c>
      <c r="M45" s="43">
        <f t="shared" si="10"/>
        <v>0</v>
      </c>
      <c r="N45" s="43">
        <f t="shared" si="11"/>
        <v>0</v>
      </c>
      <c r="O45" s="43">
        <f t="shared" si="12"/>
        <v>0</v>
      </c>
      <c r="P45" s="43">
        <f t="shared" si="13"/>
        <v>0</v>
      </c>
      <c r="Q45" s="43">
        <f t="shared" si="14"/>
        <v>0</v>
      </c>
      <c r="R45" s="43">
        <f t="shared" si="15"/>
        <v>0</v>
      </c>
      <c r="S45" s="43">
        <f t="shared" si="16"/>
        <v>0</v>
      </c>
      <c r="T45" s="43">
        <f t="shared" si="17"/>
        <v>0</v>
      </c>
      <c r="U45" s="43">
        <f t="shared" si="18"/>
        <v>0</v>
      </c>
      <c r="V45" s="43">
        <f t="shared" si="19"/>
        <v>0</v>
      </c>
      <c r="W45" s="43">
        <f t="shared" si="20"/>
        <v>0</v>
      </c>
      <c r="Y45" s="26" t="e">
        <f t="shared" si="21"/>
        <v>#VALUE!</v>
      </c>
      <c r="Z45" s="116" t="e">
        <f t="shared" si="22"/>
        <v>#VALUE!</v>
      </c>
      <c r="AA45" s="117" t="e">
        <f t="shared" si="23"/>
        <v>#VALUE!</v>
      </c>
      <c r="AB45" s="40"/>
      <c r="AC45" s="26" t="e">
        <f t="shared" si="24"/>
        <v>#VALUE!</v>
      </c>
      <c r="AD45" s="116" t="e">
        <f t="shared" si="25"/>
        <v>#VALUE!</v>
      </c>
      <c r="AE45" s="117" t="e">
        <f t="shared" si="26"/>
        <v>#VALUE!</v>
      </c>
    </row>
    <row r="46" spans="2:31" x14ac:dyDescent="0.2">
      <c r="B46" s="41">
        <f t="shared" si="0"/>
        <v>16</v>
      </c>
      <c r="C46" s="42" t="str">
        <f t="shared" si="0"/>
        <v>PR Caderas ®</v>
      </c>
      <c r="D46" s="43" t="e">
        <f t="shared" si="1"/>
        <v>#VALUE!</v>
      </c>
      <c r="E46" s="43">
        <f t="shared" si="2"/>
        <v>243</v>
      </c>
      <c r="F46" s="43">
        <f t="shared" si="3"/>
        <v>194</v>
      </c>
      <c r="G46" s="43">
        <f t="shared" si="4"/>
        <v>201.5</v>
      </c>
      <c r="H46" s="43">
        <f t="shared" si="5"/>
        <v>0</v>
      </c>
      <c r="I46" s="43">
        <f t="shared" si="6"/>
        <v>0</v>
      </c>
      <c r="J46" s="43">
        <f t="shared" si="7"/>
        <v>0</v>
      </c>
      <c r="K46" s="43">
        <f t="shared" si="8"/>
        <v>0</v>
      </c>
      <c r="L46" s="43">
        <f t="shared" si="9"/>
        <v>0</v>
      </c>
      <c r="M46" s="43">
        <f t="shared" si="10"/>
        <v>0</v>
      </c>
      <c r="N46" s="43">
        <f t="shared" si="11"/>
        <v>0</v>
      </c>
      <c r="O46" s="43">
        <f t="shared" si="12"/>
        <v>0</v>
      </c>
      <c r="P46" s="43">
        <f t="shared" si="13"/>
        <v>0</v>
      </c>
      <c r="Q46" s="43">
        <f t="shared" si="14"/>
        <v>0</v>
      </c>
      <c r="R46" s="43">
        <f t="shared" si="15"/>
        <v>0</v>
      </c>
      <c r="S46" s="43">
        <f t="shared" si="16"/>
        <v>0</v>
      </c>
      <c r="T46" s="43">
        <f t="shared" si="17"/>
        <v>0</v>
      </c>
      <c r="U46" s="43">
        <f t="shared" si="18"/>
        <v>0</v>
      </c>
      <c r="V46" s="43">
        <f t="shared" si="19"/>
        <v>0</v>
      </c>
      <c r="W46" s="43">
        <f t="shared" si="20"/>
        <v>0</v>
      </c>
      <c r="Y46" s="26" t="e">
        <f t="shared" si="21"/>
        <v>#VALUE!</v>
      </c>
      <c r="Z46" s="116" t="e">
        <f t="shared" si="22"/>
        <v>#VALUE!</v>
      </c>
      <c r="AA46" s="117" t="e">
        <f t="shared" si="23"/>
        <v>#VALUE!</v>
      </c>
      <c r="AB46" s="40"/>
      <c r="AC46" s="26" t="e">
        <f t="shared" si="24"/>
        <v>#VALUE!</v>
      </c>
      <c r="AD46" s="116" t="e">
        <f t="shared" si="25"/>
        <v>#VALUE!</v>
      </c>
      <c r="AE46" s="117" t="e">
        <f t="shared" si="26"/>
        <v>#VALUE!</v>
      </c>
    </row>
    <row r="47" spans="2:31" x14ac:dyDescent="0.2">
      <c r="B47" s="41">
        <f t="shared" si="0"/>
        <v>17</v>
      </c>
      <c r="C47" s="42" t="str">
        <f t="shared" si="0"/>
        <v>PR Muslo Medio ®</v>
      </c>
      <c r="D47" s="43" t="e">
        <f t="shared" si="1"/>
        <v>#VALUE!</v>
      </c>
      <c r="E47" s="43">
        <f t="shared" si="2"/>
        <v>129.5</v>
      </c>
      <c r="F47" s="43">
        <f t="shared" si="3"/>
        <v>105</v>
      </c>
      <c r="G47" s="43">
        <f t="shared" si="4"/>
        <v>107.5</v>
      </c>
      <c r="H47" s="43">
        <f t="shared" si="5"/>
        <v>0</v>
      </c>
      <c r="I47" s="43">
        <f t="shared" si="6"/>
        <v>0</v>
      </c>
      <c r="J47" s="43">
        <f t="shared" si="7"/>
        <v>0</v>
      </c>
      <c r="K47" s="43">
        <f t="shared" si="8"/>
        <v>0</v>
      </c>
      <c r="L47" s="43">
        <f t="shared" si="9"/>
        <v>0</v>
      </c>
      <c r="M47" s="43">
        <f t="shared" si="10"/>
        <v>0</v>
      </c>
      <c r="N47" s="43">
        <f t="shared" si="11"/>
        <v>0</v>
      </c>
      <c r="O47" s="43">
        <f t="shared" si="12"/>
        <v>0</v>
      </c>
      <c r="P47" s="43">
        <f t="shared" si="13"/>
        <v>0</v>
      </c>
      <c r="Q47" s="43">
        <f t="shared" si="14"/>
        <v>0</v>
      </c>
      <c r="R47" s="43">
        <f t="shared" si="15"/>
        <v>0</v>
      </c>
      <c r="S47" s="43">
        <f t="shared" si="16"/>
        <v>0</v>
      </c>
      <c r="T47" s="43">
        <f t="shared" si="17"/>
        <v>0</v>
      </c>
      <c r="U47" s="43">
        <f t="shared" si="18"/>
        <v>0</v>
      </c>
      <c r="V47" s="43">
        <f t="shared" si="19"/>
        <v>0</v>
      </c>
      <c r="W47" s="43">
        <f t="shared" si="20"/>
        <v>0</v>
      </c>
      <c r="Y47" s="26" t="e">
        <f t="shared" si="21"/>
        <v>#VALUE!</v>
      </c>
      <c r="Z47" s="116" t="e">
        <f t="shared" si="22"/>
        <v>#VALUE!</v>
      </c>
      <c r="AA47" s="117" t="e">
        <f t="shared" si="23"/>
        <v>#VALUE!</v>
      </c>
      <c r="AB47" s="40"/>
      <c r="AC47" s="26" t="e">
        <f t="shared" si="24"/>
        <v>#VALUE!</v>
      </c>
      <c r="AD47" s="116" t="e">
        <f t="shared" si="25"/>
        <v>#VALUE!</v>
      </c>
      <c r="AE47" s="117" t="e">
        <f t="shared" si="26"/>
        <v>#VALUE!</v>
      </c>
    </row>
    <row r="48" spans="2:31" x14ac:dyDescent="0.2">
      <c r="B48" s="41">
        <f t="shared" si="0"/>
        <v>18</v>
      </c>
      <c r="C48" s="42" t="str">
        <f t="shared" si="0"/>
        <v>PR Pierna ®</v>
      </c>
      <c r="D48" s="43">
        <f t="shared" si="1"/>
        <v>64</v>
      </c>
      <c r="E48" s="43">
        <f t="shared" si="2"/>
        <v>92.1</v>
      </c>
      <c r="F48" s="43" t="e">
        <f t="shared" si="3"/>
        <v>#VALUE!</v>
      </c>
      <c r="G48" s="43" t="e">
        <f t="shared" si="4"/>
        <v>#VALUE!</v>
      </c>
      <c r="H48" s="43">
        <f t="shared" si="5"/>
        <v>0</v>
      </c>
      <c r="I48" s="43">
        <f t="shared" si="6"/>
        <v>0</v>
      </c>
      <c r="J48" s="43">
        <f t="shared" si="7"/>
        <v>0</v>
      </c>
      <c r="K48" s="43">
        <f t="shared" si="8"/>
        <v>0</v>
      </c>
      <c r="L48" s="43">
        <f t="shared" si="9"/>
        <v>0</v>
      </c>
      <c r="M48" s="43">
        <f t="shared" si="10"/>
        <v>0</v>
      </c>
      <c r="N48" s="43">
        <f t="shared" si="11"/>
        <v>0</v>
      </c>
      <c r="O48" s="43">
        <f t="shared" si="12"/>
        <v>0</v>
      </c>
      <c r="P48" s="43">
        <f t="shared" si="13"/>
        <v>0</v>
      </c>
      <c r="Q48" s="43">
        <f t="shared" si="14"/>
        <v>0</v>
      </c>
      <c r="R48" s="43">
        <f t="shared" si="15"/>
        <v>0</v>
      </c>
      <c r="S48" s="43">
        <f t="shared" si="16"/>
        <v>0</v>
      </c>
      <c r="T48" s="43">
        <f t="shared" si="17"/>
        <v>0</v>
      </c>
      <c r="U48" s="43">
        <f t="shared" si="18"/>
        <v>0</v>
      </c>
      <c r="V48" s="43">
        <f t="shared" si="19"/>
        <v>0</v>
      </c>
      <c r="W48" s="43">
        <f t="shared" si="20"/>
        <v>0</v>
      </c>
      <c r="Y48" s="26" t="e">
        <f t="shared" si="21"/>
        <v>#VALUE!</v>
      </c>
      <c r="Z48" s="116" t="e">
        <f t="shared" si="22"/>
        <v>#VALUE!</v>
      </c>
      <c r="AA48" s="117" t="e">
        <f t="shared" si="23"/>
        <v>#VALUE!</v>
      </c>
      <c r="AB48" s="40"/>
      <c r="AC48" s="26" t="e">
        <f t="shared" si="24"/>
        <v>#VALUE!</v>
      </c>
      <c r="AD48" s="116" t="e">
        <f t="shared" si="25"/>
        <v>#VALUE!</v>
      </c>
      <c r="AE48" s="117" t="e">
        <f t="shared" si="26"/>
        <v>#VALUE!</v>
      </c>
    </row>
    <row r="49" spans="1:46" x14ac:dyDescent="0.2">
      <c r="B49" s="41">
        <f t="shared" si="0"/>
        <v>19</v>
      </c>
      <c r="C49" s="42" t="str">
        <f t="shared" si="0"/>
        <v>D Húmero ®</v>
      </c>
      <c r="D49" s="43">
        <f t="shared" si="1"/>
        <v>17.600000000000001</v>
      </c>
      <c r="E49" s="43">
        <f t="shared" si="2"/>
        <v>18.2</v>
      </c>
      <c r="F49" s="43" t="e">
        <f t="shared" si="3"/>
        <v>#VALUE!</v>
      </c>
      <c r="G49" s="43">
        <f t="shared" si="4"/>
        <v>12.8</v>
      </c>
      <c r="H49" s="43">
        <f t="shared" si="5"/>
        <v>0</v>
      </c>
      <c r="I49" s="43">
        <f t="shared" si="6"/>
        <v>0</v>
      </c>
      <c r="J49" s="43">
        <f t="shared" si="7"/>
        <v>0</v>
      </c>
      <c r="K49" s="43">
        <f t="shared" si="8"/>
        <v>0</v>
      </c>
      <c r="L49" s="43">
        <f t="shared" si="9"/>
        <v>0</v>
      </c>
      <c r="M49" s="43">
        <f t="shared" si="10"/>
        <v>0</v>
      </c>
      <c r="N49" s="43">
        <f t="shared" si="11"/>
        <v>0</v>
      </c>
      <c r="O49" s="43">
        <f t="shared" si="12"/>
        <v>0</v>
      </c>
      <c r="P49" s="43">
        <f t="shared" si="13"/>
        <v>0</v>
      </c>
      <c r="Q49" s="43">
        <f t="shared" si="14"/>
        <v>0</v>
      </c>
      <c r="R49" s="43">
        <f t="shared" si="15"/>
        <v>0</v>
      </c>
      <c r="S49" s="43">
        <f t="shared" si="16"/>
        <v>0</v>
      </c>
      <c r="T49" s="43">
        <f t="shared" si="17"/>
        <v>0</v>
      </c>
      <c r="U49" s="43">
        <f t="shared" si="18"/>
        <v>0</v>
      </c>
      <c r="V49" s="43">
        <f t="shared" si="19"/>
        <v>0</v>
      </c>
      <c r="W49" s="43">
        <f t="shared" si="20"/>
        <v>0</v>
      </c>
      <c r="Y49" s="26" t="e">
        <f t="shared" si="21"/>
        <v>#VALUE!</v>
      </c>
      <c r="Z49" s="116" t="e">
        <f t="shared" si="22"/>
        <v>#VALUE!</v>
      </c>
      <c r="AA49" s="117" t="e">
        <f t="shared" si="23"/>
        <v>#VALUE!</v>
      </c>
      <c r="AB49" s="40"/>
      <c r="AC49" s="26" t="e">
        <f t="shared" si="24"/>
        <v>#VALUE!</v>
      </c>
      <c r="AD49" s="116" t="e">
        <f t="shared" si="25"/>
        <v>#VALUE!</v>
      </c>
      <c r="AE49" s="117" t="e">
        <f t="shared" si="26"/>
        <v>#VALUE!</v>
      </c>
    </row>
    <row r="50" spans="1:46" x14ac:dyDescent="0.2">
      <c r="B50" s="41">
        <f t="shared" si="0"/>
        <v>20</v>
      </c>
      <c r="C50" s="42" t="str">
        <f t="shared" si="0"/>
        <v>D Biestiloideo ®</v>
      </c>
      <c r="D50" s="43">
        <f t="shared" si="1"/>
        <v>14</v>
      </c>
      <c r="E50" s="43">
        <f t="shared" si="2"/>
        <v>17.399999999999999</v>
      </c>
      <c r="F50" s="43" t="e">
        <f t="shared" si="3"/>
        <v>#VALUE!</v>
      </c>
      <c r="G50" s="43" t="e">
        <f t="shared" si="4"/>
        <v>#VALUE!</v>
      </c>
      <c r="H50" s="43">
        <f t="shared" si="5"/>
        <v>0</v>
      </c>
      <c r="I50" s="43">
        <f t="shared" si="6"/>
        <v>0</v>
      </c>
      <c r="J50" s="43">
        <f t="shared" si="7"/>
        <v>0</v>
      </c>
      <c r="K50" s="43">
        <f t="shared" si="8"/>
        <v>0</v>
      </c>
      <c r="L50" s="43">
        <f t="shared" si="9"/>
        <v>0</v>
      </c>
      <c r="M50" s="43">
        <f t="shared" si="10"/>
        <v>0</v>
      </c>
      <c r="N50" s="43">
        <f t="shared" si="11"/>
        <v>0</v>
      </c>
      <c r="O50" s="43">
        <f t="shared" si="12"/>
        <v>0</v>
      </c>
      <c r="P50" s="43">
        <f t="shared" si="13"/>
        <v>0</v>
      </c>
      <c r="Q50" s="43">
        <f t="shared" si="14"/>
        <v>0</v>
      </c>
      <c r="R50" s="43">
        <f t="shared" si="15"/>
        <v>0</v>
      </c>
      <c r="S50" s="43">
        <f t="shared" si="16"/>
        <v>0</v>
      </c>
      <c r="T50" s="43">
        <f t="shared" si="17"/>
        <v>0</v>
      </c>
      <c r="U50" s="43">
        <f t="shared" si="18"/>
        <v>0</v>
      </c>
      <c r="V50" s="43">
        <f t="shared" si="19"/>
        <v>0</v>
      </c>
      <c r="W50" s="43">
        <f t="shared" si="20"/>
        <v>0</v>
      </c>
      <c r="Y50" s="26" t="e">
        <f t="shared" si="21"/>
        <v>#VALUE!</v>
      </c>
      <c r="Z50" s="116" t="e">
        <f t="shared" si="22"/>
        <v>#VALUE!</v>
      </c>
      <c r="AA50" s="117" t="e">
        <f t="shared" si="23"/>
        <v>#VALUE!</v>
      </c>
      <c r="AB50" s="40"/>
      <c r="AC50" s="26" t="e">
        <f t="shared" si="24"/>
        <v>#VALUE!</v>
      </c>
      <c r="AD50" s="116" t="e">
        <f t="shared" si="25"/>
        <v>#VALUE!</v>
      </c>
      <c r="AE50" s="117" t="e">
        <f t="shared" si="26"/>
        <v>#VALUE!</v>
      </c>
    </row>
    <row r="51" spans="1:46" ht="13.5" thickBot="1" x14ac:dyDescent="0.25">
      <c r="B51" s="44">
        <f t="shared" si="0"/>
        <v>21</v>
      </c>
      <c r="C51" s="45" t="str">
        <f t="shared" si="0"/>
        <v>D Fémur ®</v>
      </c>
      <c r="D51" s="46">
        <f t="shared" si="1"/>
        <v>22</v>
      </c>
      <c r="E51" s="46">
        <f t="shared" si="2"/>
        <v>28.5</v>
      </c>
      <c r="F51" s="46" t="e">
        <f t="shared" si="3"/>
        <v>#VALUE!</v>
      </c>
      <c r="G51" s="46" t="e">
        <f t="shared" si="4"/>
        <v>#VALUE!</v>
      </c>
      <c r="H51" s="46">
        <f t="shared" si="5"/>
        <v>0</v>
      </c>
      <c r="I51" s="46">
        <f t="shared" si="6"/>
        <v>0</v>
      </c>
      <c r="J51" s="46">
        <f t="shared" si="7"/>
        <v>0</v>
      </c>
      <c r="K51" s="46">
        <f t="shared" si="8"/>
        <v>0</v>
      </c>
      <c r="L51" s="46">
        <f t="shared" si="9"/>
        <v>0</v>
      </c>
      <c r="M51" s="46">
        <f t="shared" si="10"/>
        <v>0</v>
      </c>
      <c r="N51" s="46">
        <f t="shared" si="11"/>
        <v>0</v>
      </c>
      <c r="O51" s="46">
        <f t="shared" si="12"/>
        <v>0</v>
      </c>
      <c r="P51" s="46">
        <f t="shared" si="13"/>
        <v>0</v>
      </c>
      <c r="Q51" s="46">
        <f t="shared" si="14"/>
        <v>0</v>
      </c>
      <c r="R51" s="46">
        <f t="shared" si="15"/>
        <v>0</v>
      </c>
      <c r="S51" s="46">
        <f t="shared" si="16"/>
        <v>0</v>
      </c>
      <c r="T51" s="46">
        <f t="shared" si="17"/>
        <v>0</v>
      </c>
      <c r="U51" s="46">
        <f t="shared" si="18"/>
        <v>0</v>
      </c>
      <c r="V51" s="46">
        <f t="shared" si="19"/>
        <v>0</v>
      </c>
      <c r="W51" s="46">
        <f t="shared" si="20"/>
        <v>0</v>
      </c>
      <c r="Y51" s="28" t="e">
        <f t="shared" si="21"/>
        <v>#VALUE!</v>
      </c>
      <c r="Z51" s="169" t="e">
        <f t="shared" si="22"/>
        <v>#VALUE!</v>
      </c>
      <c r="AA51" s="170" t="e">
        <f t="shared" si="23"/>
        <v>#VALUE!</v>
      </c>
      <c r="AB51" s="40"/>
      <c r="AC51" s="28" t="e">
        <f t="shared" si="24"/>
        <v>#VALUE!</v>
      </c>
      <c r="AD51" s="169" t="e">
        <f t="shared" si="25"/>
        <v>#VALUE!</v>
      </c>
      <c r="AE51" s="170" t="e">
        <f t="shared" si="26"/>
        <v>#VALUE!</v>
      </c>
    </row>
    <row r="52" spans="1:46" ht="22.9" customHeight="1" x14ac:dyDescent="0.2"/>
    <row r="53" spans="1:46" ht="23.25" x14ac:dyDescent="0.2">
      <c r="A53" s="17"/>
      <c r="B53" s="256" t="str">
        <f>IF(Info!J3, "SQUARE OF SUMS", "CUADRADO DE LAS SUMAS")</f>
        <v>CUADRADO DE LAS SUMAS</v>
      </c>
      <c r="C53" s="256"/>
      <c r="D53" s="256"/>
      <c r="E53" s="256"/>
      <c r="F53" s="256"/>
      <c r="G53" s="256"/>
      <c r="H53" s="256"/>
      <c r="I53" s="256"/>
      <c r="J53" s="256"/>
      <c r="K53" s="256"/>
      <c r="L53" s="256"/>
      <c r="M53" s="256"/>
      <c r="N53" s="256"/>
      <c r="O53" s="256"/>
      <c r="P53" s="256"/>
      <c r="Q53" s="256"/>
      <c r="R53" s="256"/>
      <c r="S53" s="256"/>
      <c r="T53" s="256"/>
      <c r="U53" s="256"/>
      <c r="V53" s="256"/>
      <c r="W53" s="256"/>
      <c r="X53" s="256"/>
      <c r="Y53" s="256"/>
      <c r="Z53" s="256"/>
      <c r="AA53" s="256"/>
      <c r="AB53" s="256"/>
      <c r="AC53" s="256"/>
      <c r="AD53" s="256"/>
      <c r="AE53" s="256"/>
      <c r="AF53" s="256"/>
      <c r="AG53" s="256"/>
      <c r="AH53" s="256"/>
      <c r="AI53" s="256"/>
      <c r="AJ53" s="256"/>
      <c r="AK53" s="256"/>
      <c r="AL53" s="256"/>
      <c r="AM53" s="256"/>
      <c r="AN53" s="256"/>
      <c r="AO53" s="256"/>
      <c r="AP53" s="256"/>
      <c r="AQ53" s="256"/>
      <c r="AR53" s="256"/>
      <c r="AS53" s="256"/>
      <c r="AT53" s="256"/>
    </row>
    <row r="54" spans="1:46" ht="13.5" thickBot="1" x14ac:dyDescent="0.25">
      <c r="X54" s="9"/>
      <c r="Y54" s="9"/>
      <c r="Z54" s="9"/>
      <c r="AA54" s="9"/>
    </row>
    <row r="55" spans="1:46" x14ac:dyDescent="0.2">
      <c r="B55" s="17"/>
      <c r="D55" s="29" t="s">
        <v>0</v>
      </c>
      <c r="E55" s="29" t="s">
        <v>1</v>
      </c>
      <c r="F55" s="29" t="s">
        <v>2</v>
      </c>
      <c r="G55" s="29" t="s">
        <v>3</v>
      </c>
      <c r="H55" s="29" t="s">
        <v>4</v>
      </c>
      <c r="I55" s="29" t="s">
        <v>5</v>
      </c>
      <c r="J55" s="29" t="s">
        <v>6</v>
      </c>
      <c r="K55" s="29" t="s">
        <v>7</v>
      </c>
      <c r="L55" s="29" t="s">
        <v>8</v>
      </c>
      <c r="M55" s="29" t="s">
        <v>9</v>
      </c>
      <c r="N55" s="29" t="s">
        <v>10</v>
      </c>
      <c r="O55" s="29" t="s">
        <v>11</v>
      </c>
      <c r="P55" s="29" t="s">
        <v>12</v>
      </c>
      <c r="Q55" s="29" t="s">
        <v>13</v>
      </c>
      <c r="R55" s="29" t="s">
        <v>14</v>
      </c>
      <c r="S55" s="29" t="s">
        <v>15</v>
      </c>
      <c r="T55" s="29" t="s">
        <v>16</v>
      </c>
      <c r="U55" s="29" t="s">
        <v>17</v>
      </c>
      <c r="V55" s="29" t="s">
        <v>18</v>
      </c>
      <c r="W55" s="29" t="s">
        <v>19</v>
      </c>
      <c r="X55" s="17"/>
      <c r="Y55" s="24" t="str">
        <f>IF(Info!J3, "Sum", "Suma")</f>
        <v>Suma</v>
      </c>
      <c r="Z55" s="17"/>
      <c r="AA55" s="24" t="str">
        <f>IF(Info!J3, "Square", "Cuadrado")</f>
        <v>Cuadrado</v>
      </c>
    </row>
    <row r="56" spans="1:46" ht="13.5" thickBot="1" x14ac:dyDescent="0.25">
      <c r="B56" s="17"/>
      <c r="C56" s="32"/>
      <c r="D56" s="33" t="str">
        <f t="shared" ref="D56:W56" si="27">D30</f>
        <v>med 1+2</v>
      </c>
      <c r="E56" s="33" t="str">
        <f t="shared" si="27"/>
        <v>med 1+2</v>
      </c>
      <c r="F56" s="33" t="str">
        <f t="shared" si="27"/>
        <v>med 1+2</v>
      </c>
      <c r="G56" s="33" t="str">
        <f t="shared" si="27"/>
        <v>med 1+2</v>
      </c>
      <c r="H56" s="33" t="str">
        <f t="shared" si="27"/>
        <v>med 1+2</v>
      </c>
      <c r="I56" s="33" t="str">
        <f t="shared" si="27"/>
        <v>med 1+2</v>
      </c>
      <c r="J56" s="33" t="str">
        <f t="shared" si="27"/>
        <v>med 1+2</v>
      </c>
      <c r="K56" s="33" t="str">
        <f t="shared" si="27"/>
        <v>med 1+2</v>
      </c>
      <c r="L56" s="33" t="str">
        <f t="shared" si="27"/>
        <v>med 1+2</v>
      </c>
      <c r="M56" s="33" t="str">
        <f t="shared" si="27"/>
        <v>med 1+2</v>
      </c>
      <c r="N56" s="33" t="str">
        <f t="shared" si="27"/>
        <v>med 1+2</v>
      </c>
      <c r="O56" s="33" t="str">
        <f t="shared" si="27"/>
        <v>med 1+2</v>
      </c>
      <c r="P56" s="33" t="str">
        <f t="shared" si="27"/>
        <v>med 1+2</v>
      </c>
      <c r="Q56" s="33" t="str">
        <f t="shared" si="27"/>
        <v>med 1+2</v>
      </c>
      <c r="R56" s="33" t="str">
        <f t="shared" si="27"/>
        <v>med 1+2</v>
      </c>
      <c r="S56" s="33" t="str">
        <f t="shared" si="27"/>
        <v>med 1+2</v>
      </c>
      <c r="T56" s="33" t="str">
        <f t="shared" si="27"/>
        <v>med 1+2</v>
      </c>
      <c r="U56" s="33" t="str">
        <f t="shared" si="27"/>
        <v>med 1+2</v>
      </c>
      <c r="V56" s="33" t="str">
        <f t="shared" si="27"/>
        <v>med 1+2</v>
      </c>
      <c r="W56" s="33" t="str">
        <f t="shared" si="27"/>
        <v>med 1+2</v>
      </c>
      <c r="X56" s="17"/>
      <c r="Y56" s="27" t="str">
        <f>IF(Info!J3, "Squares", "Cuadrados")</f>
        <v>Cuadrados</v>
      </c>
      <c r="Z56" s="17"/>
      <c r="AA56" s="27" t="str">
        <f>IF(Info!J3, "Sum", "Suma")</f>
        <v>Suma</v>
      </c>
    </row>
    <row r="57" spans="1:46" x14ac:dyDescent="0.2">
      <c r="B57" s="37">
        <f t="shared" ref="B57:C77" si="28">B31</f>
        <v>1</v>
      </c>
      <c r="C57" s="38" t="str">
        <f t="shared" si="28"/>
        <v>Masa Corporal ®</v>
      </c>
      <c r="D57" s="39">
        <f t="shared" ref="D57:W57" si="29">D31^2</f>
        <v>11750.560000000001</v>
      </c>
      <c r="E57" s="39">
        <f t="shared" si="29"/>
        <v>46656</v>
      </c>
      <c r="F57" s="39">
        <f t="shared" si="29"/>
        <v>12012.159999999998</v>
      </c>
      <c r="G57" s="39">
        <f t="shared" si="29"/>
        <v>20563.560000000001</v>
      </c>
      <c r="H57" s="39">
        <f t="shared" si="29"/>
        <v>0</v>
      </c>
      <c r="I57" s="39">
        <f t="shared" si="29"/>
        <v>0</v>
      </c>
      <c r="J57" s="39">
        <f t="shared" si="29"/>
        <v>0</v>
      </c>
      <c r="K57" s="39">
        <f t="shared" si="29"/>
        <v>0</v>
      </c>
      <c r="L57" s="39">
        <f t="shared" si="29"/>
        <v>0</v>
      </c>
      <c r="M57" s="39">
        <f t="shared" si="29"/>
        <v>0</v>
      </c>
      <c r="N57" s="39">
        <f t="shared" si="29"/>
        <v>0</v>
      </c>
      <c r="O57" s="39">
        <f t="shared" si="29"/>
        <v>0</v>
      </c>
      <c r="P57" s="39">
        <f t="shared" si="29"/>
        <v>0</v>
      </c>
      <c r="Q57" s="39">
        <f t="shared" si="29"/>
        <v>0</v>
      </c>
      <c r="R57" s="39">
        <f t="shared" si="29"/>
        <v>0</v>
      </c>
      <c r="S57" s="39">
        <f t="shared" si="29"/>
        <v>0</v>
      </c>
      <c r="T57" s="39">
        <f t="shared" si="29"/>
        <v>0</v>
      </c>
      <c r="U57" s="39">
        <f t="shared" si="29"/>
        <v>0</v>
      </c>
      <c r="V57" s="39">
        <f t="shared" si="29"/>
        <v>0</v>
      </c>
      <c r="W57" s="39">
        <f t="shared" si="29"/>
        <v>0</v>
      </c>
      <c r="X57" s="9"/>
      <c r="Y57" s="39">
        <f t="shared" ref="Y57:Y77" si="30">SUM(D57:W57)</f>
        <v>90982.28</v>
      </c>
      <c r="Z57" s="9"/>
      <c r="AA57" s="39">
        <f t="shared" ref="AA57:AA77" si="31">AA31^2</f>
        <v>333390.75999999995</v>
      </c>
    </row>
    <row r="58" spans="1:46" x14ac:dyDescent="0.2">
      <c r="B58" s="41">
        <f t="shared" si="28"/>
        <v>2</v>
      </c>
      <c r="C58" s="42" t="str">
        <f t="shared" si="28"/>
        <v>Talla ®</v>
      </c>
      <c r="D58" s="43">
        <f t="shared" ref="D58:W58" si="32">D32^2</f>
        <v>90601</v>
      </c>
      <c r="E58" s="43">
        <f t="shared" si="32"/>
        <v>113569</v>
      </c>
      <c r="F58" s="43">
        <f t="shared" si="32"/>
        <v>87025</v>
      </c>
      <c r="G58" s="43">
        <f t="shared" si="32"/>
        <v>106929</v>
      </c>
      <c r="H58" s="43">
        <f t="shared" si="32"/>
        <v>0</v>
      </c>
      <c r="I58" s="43">
        <f t="shared" si="32"/>
        <v>0</v>
      </c>
      <c r="J58" s="43">
        <f t="shared" si="32"/>
        <v>0</v>
      </c>
      <c r="K58" s="43">
        <f t="shared" si="32"/>
        <v>0</v>
      </c>
      <c r="L58" s="43">
        <f t="shared" si="32"/>
        <v>0</v>
      </c>
      <c r="M58" s="43">
        <f t="shared" si="32"/>
        <v>0</v>
      </c>
      <c r="N58" s="43">
        <f t="shared" si="32"/>
        <v>0</v>
      </c>
      <c r="O58" s="43">
        <f t="shared" si="32"/>
        <v>0</v>
      </c>
      <c r="P58" s="43">
        <f t="shared" si="32"/>
        <v>0</v>
      </c>
      <c r="Q58" s="43">
        <f t="shared" si="32"/>
        <v>0</v>
      </c>
      <c r="R58" s="43">
        <f t="shared" si="32"/>
        <v>0</v>
      </c>
      <c r="S58" s="43">
        <f t="shared" si="32"/>
        <v>0</v>
      </c>
      <c r="T58" s="43">
        <f t="shared" si="32"/>
        <v>0</v>
      </c>
      <c r="U58" s="43">
        <f t="shared" si="32"/>
        <v>0</v>
      </c>
      <c r="V58" s="43">
        <f t="shared" si="32"/>
        <v>0</v>
      </c>
      <c r="W58" s="43">
        <f t="shared" si="32"/>
        <v>0</v>
      </c>
      <c r="X58" s="9"/>
      <c r="Y58" s="43">
        <f t="shared" si="30"/>
        <v>398124</v>
      </c>
      <c r="Z58" s="9"/>
      <c r="AA58" s="43">
        <f t="shared" si="31"/>
        <v>1587600</v>
      </c>
    </row>
    <row r="59" spans="1:46" x14ac:dyDescent="0.2">
      <c r="B59" s="41">
        <f t="shared" si="28"/>
        <v>3</v>
      </c>
      <c r="C59" s="42" t="str">
        <f t="shared" si="28"/>
        <v>Talla Sentado ®</v>
      </c>
      <c r="D59" s="43">
        <f t="shared" ref="D59:W59" si="33">D33^2</f>
        <v>27225</v>
      </c>
      <c r="E59" s="43">
        <f t="shared" si="33"/>
        <v>31684</v>
      </c>
      <c r="F59" s="43">
        <f t="shared" si="33"/>
        <v>26244</v>
      </c>
      <c r="G59" s="43" t="e">
        <f t="shared" si="33"/>
        <v>#VALUE!</v>
      </c>
      <c r="H59" s="43">
        <f t="shared" si="33"/>
        <v>0</v>
      </c>
      <c r="I59" s="43">
        <f t="shared" si="33"/>
        <v>0</v>
      </c>
      <c r="J59" s="43">
        <f t="shared" si="33"/>
        <v>0</v>
      </c>
      <c r="K59" s="43">
        <f t="shared" si="33"/>
        <v>0</v>
      </c>
      <c r="L59" s="43">
        <f t="shared" si="33"/>
        <v>0</v>
      </c>
      <c r="M59" s="43">
        <f t="shared" si="33"/>
        <v>0</v>
      </c>
      <c r="N59" s="43">
        <f t="shared" si="33"/>
        <v>0</v>
      </c>
      <c r="O59" s="43">
        <f t="shared" si="33"/>
        <v>0</v>
      </c>
      <c r="P59" s="43">
        <f t="shared" si="33"/>
        <v>0</v>
      </c>
      <c r="Q59" s="43">
        <f t="shared" si="33"/>
        <v>0</v>
      </c>
      <c r="R59" s="43">
        <f t="shared" si="33"/>
        <v>0</v>
      </c>
      <c r="S59" s="43">
        <f t="shared" si="33"/>
        <v>0</v>
      </c>
      <c r="T59" s="43">
        <f t="shared" si="33"/>
        <v>0</v>
      </c>
      <c r="U59" s="43">
        <f t="shared" si="33"/>
        <v>0</v>
      </c>
      <c r="V59" s="43">
        <f t="shared" si="33"/>
        <v>0</v>
      </c>
      <c r="W59" s="43">
        <f t="shared" si="33"/>
        <v>0</v>
      </c>
      <c r="X59" s="9"/>
      <c r="Y59" s="43" t="e">
        <f t="shared" si="30"/>
        <v>#VALUE!</v>
      </c>
      <c r="Z59" s="9"/>
      <c r="AA59" s="43" t="e">
        <f t="shared" si="31"/>
        <v>#VALUE!</v>
      </c>
    </row>
    <row r="60" spans="1:46" x14ac:dyDescent="0.2">
      <c r="B60" s="41">
        <f t="shared" si="28"/>
        <v>4</v>
      </c>
      <c r="C60" s="42" t="str">
        <f t="shared" si="28"/>
        <v>Envergadura de Brazos ®</v>
      </c>
      <c r="D60" s="43">
        <f t="shared" ref="D60:W60" si="34">D34^2</f>
        <v>93025</v>
      </c>
      <c r="E60" s="43">
        <f t="shared" si="34"/>
        <v>122500</v>
      </c>
      <c r="F60" s="43">
        <f t="shared" si="34"/>
        <v>91204</v>
      </c>
      <c r="G60" s="43" t="e">
        <f t="shared" si="34"/>
        <v>#VALUE!</v>
      </c>
      <c r="H60" s="43">
        <f t="shared" si="34"/>
        <v>0</v>
      </c>
      <c r="I60" s="43">
        <f t="shared" si="34"/>
        <v>0</v>
      </c>
      <c r="J60" s="43">
        <f t="shared" si="34"/>
        <v>0</v>
      </c>
      <c r="K60" s="43">
        <f t="shared" si="34"/>
        <v>0</v>
      </c>
      <c r="L60" s="43">
        <f t="shared" si="34"/>
        <v>0</v>
      </c>
      <c r="M60" s="43">
        <f t="shared" si="34"/>
        <v>0</v>
      </c>
      <c r="N60" s="43">
        <f t="shared" si="34"/>
        <v>0</v>
      </c>
      <c r="O60" s="43">
        <f t="shared" si="34"/>
        <v>0</v>
      </c>
      <c r="P60" s="43">
        <f t="shared" si="34"/>
        <v>0</v>
      </c>
      <c r="Q60" s="43">
        <f t="shared" si="34"/>
        <v>0</v>
      </c>
      <c r="R60" s="43">
        <f t="shared" si="34"/>
        <v>0</v>
      </c>
      <c r="S60" s="43">
        <f t="shared" si="34"/>
        <v>0</v>
      </c>
      <c r="T60" s="43">
        <f t="shared" si="34"/>
        <v>0</v>
      </c>
      <c r="U60" s="43">
        <f t="shared" si="34"/>
        <v>0</v>
      </c>
      <c r="V60" s="43">
        <f t="shared" si="34"/>
        <v>0</v>
      </c>
      <c r="W60" s="43">
        <f t="shared" si="34"/>
        <v>0</v>
      </c>
      <c r="X60" s="9"/>
      <c r="Y60" s="43" t="e">
        <f t="shared" si="30"/>
        <v>#VALUE!</v>
      </c>
      <c r="Z60" s="9"/>
      <c r="AA60" s="43" t="e">
        <f t="shared" si="31"/>
        <v>#VALUE!</v>
      </c>
    </row>
    <row r="61" spans="1:46" x14ac:dyDescent="0.2">
      <c r="B61" s="41">
        <f t="shared" si="28"/>
        <v>5</v>
      </c>
      <c r="C61" s="42" t="str">
        <f t="shared" si="28"/>
        <v>PL Tríceps ®</v>
      </c>
      <c r="D61" s="43">
        <f t="shared" ref="D61:W61" si="35">D35^2</f>
        <v>1225</v>
      </c>
      <c r="E61" s="43">
        <f t="shared" si="35"/>
        <v>6561</v>
      </c>
      <c r="F61" s="43">
        <f t="shared" si="35"/>
        <v>2809</v>
      </c>
      <c r="G61" s="43">
        <f t="shared" si="35"/>
        <v>3844</v>
      </c>
      <c r="H61" s="43">
        <f t="shared" si="35"/>
        <v>0</v>
      </c>
      <c r="I61" s="43">
        <f t="shared" si="35"/>
        <v>0</v>
      </c>
      <c r="J61" s="43">
        <f t="shared" si="35"/>
        <v>0</v>
      </c>
      <c r="K61" s="43">
        <f t="shared" si="35"/>
        <v>0</v>
      </c>
      <c r="L61" s="43">
        <f t="shared" si="35"/>
        <v>0</v>
      </c>
      <c r="M61" s="43">
        <f t="shared" si="35"/>
        <v>0</v>
      </c>
      <c r="N61" s="43">
        <f t="shared" si="35"/>
        <v>0</v>
      </c>
      <c r="O61" s="43">
        <f t="shared" si="35"/>
        <v>0</v>
      </c>
      <c r="P61" s="43">
        <f t="shared" si="35"/>
        <v>0</v>
      </c>
      <c r="Q61" s="43">
        <f t="shared" si="35"/>
        <v>0</v>
      </c>
      <c r="R61" s="43">
        <f t="shared" si="35"/>
        <v>0</v>
      </c>
      <c r="S61" s="43">
        <f t="shared" si="35"/>
        <v>0</v>
      </c>
      <c r="T61" s="43">
        <f t="shared" si="35"/>
        <v>0</v>
      </c>
      <c r="U61" s="43">
        <f t="shared" si="35"/>
        <v>0</v>
      </c>
      <c r="V61" s="43">
        <f t="shared" si="35"/>
        <v>0</v>
      </c>
      <c r="W61" s="43">
        <f t="shared" si="35"/>
        <v>0</v>
      </c>
      <c r="X61" s="9"/>
      <c r="Y61" s="43">
        <f t="shared" si="30"/>
        <v>14439</v>
      </c>
      <c r="Z61" s="9"/>
      <c r="AA61" s="43">
        <f t="shared" si="31"/>
        <v>53361</v>
      </c>
    </row>
    <row r="62" spans="1:46" x14ac:dyDescent="0.2">
      <c r="B62" s="41">
        <f t="shared" si="28"/>
        <v>6</v>
      </c>
      <c r="C62" s="42" t="str">
        <f t="shared" si="28"/>
        <v>PL Subescapular ®</v>
      </c>
      <c r="D62" s="43">
        <f t="shared" ref="D62:W62" si="36">D36^2</f>
        <v>961</v>
      </c>
      <c r="E62" s="43">
        <f t="shared" si="36"/>
        <v>19044</v>
      </c>
      <c r="F62" s="43">
        <f t="shared" si="36"/>
        <v>2116</v>
      </c>
      <c r="G62" s="43">
        <f t="shared" si="36"/>
        <v>1764</v>
      </c>
      <c r="H62" s="43">
        <f t="shared" si="36"/>
        <v>0</v>
      </c>
      <c r="I62" s="43">
        <f t="shared" si="36"/>
        <v>0</v>
      </c>
      <c r="J62" s="43">
        <f t="shared" si="36"/>
        <v>0</v>
      </c>
      <c r="K62" s="43">
        <f t="shared" si="36"/>
        <v>0</v>
      </c>
      <c r="L62" s="43">
        <f t="shared" si="36"/>
        <v>0</v>
      </c>
      <c r="M62" s="43">
        <f t="shared" si="36"/>
        <v>0</v>
      </c>
      <c r="N62" s="43">
        <f t="shared" si="36"/>
        <v>0</v>
      </c>
      <c r="O62" s="43">
        <f t="shared" si="36"/>
        <v>0</v>
      </c>
      <c r="P62" s="43">
        <f t="shared" si="36"/>
        <v>0</v>
      </c>
      <c r="Q62" s="43">
        <f t="shared" si="36"/>
        <v>0</v>
      </c>
      <c r="R62" s="43">
        <f t="shared" si="36"/>
        <v>0</v>
      </c>
      <c r="S62" s="43">
        <f t="shared" si="36"/>
        <v>0</v>
      </c>
      <c r="T62" s="43">
        <f t="shared" si="36"/>
        <v>0</v>
      </c>
      <c r="U62" s="43">
        <f t="shared" si="36"/>
        <v>0</v>
      </c>
      <c r="V62" s="43">
        <f t="shared" si="36"/>
        <v>0</v>
      </c>
      <c r="W62" s="43">
        <f t="shared" si="36"/>
        <v>0</v>
      </c>
      <c r="X62" s="9"/>
      <c r="Y62" s="43">
        <f t="shared" si="30"/>
        <v>23885</v>
      </c>
      <c r="Z62" s="9"/>
      <c r="AA62" s="43">
        <f t="shared" si="31"/>
        <v>66049</v>
      </c>
    </row>
    <row r="63" spans="1:46" x14ac:dyDescent="0.2">
      <c r="B63" s="41">
        <f t="shared" si="28"/>
        <v>7</v>
      </c>
      <c r="C63" s="42" t="str">
        <f t="shared" si="28"/>
        <v>PL Bíceps ®</v>
      </c>
      <c r="D63" s="43">
        <f t="shared" ref="D63:W63" si="37">D37^2</f>
        <v>784</v>
      </c>
      <c r="E63" s="43">
        <f t="shared" si="37"/>
        <v>1600</v>
      </c>
      <c r="F63" s="43">
        <f t="shared" si="37"/>
        <v>144</v>
      </c>
      <c r="G63" s="43">
        <f t="shared" si="37"/>
        <v>900</v>
      </c>
      <c r="H63" s="43">
        <f t="shared" si="37"/>
        <v>0</v>
      </c>
      <c r="I63" s="43">
        <f t="shared" si="37"/>
        <v>0</v>
      </c>
      <c r="J63" s="43">
        <f t="shared" si="37"/>
        <v>0</v>
      </c>
      <c r="K63" s="43">
        <f t="shared" si="37"/>
        <v>0</v>
      </c>
      <c r="L63" s="43">
        <f t="shared" si="37"/>
        <v>0</v>
      </c>
      <c r="M63" s="43">
        <f t="shared" si="37"/>
        <v>0</v>
      </c>
      <c r="N63" s="43">
        <f t="shared" si="37"/>
        <v>0</v>
      </c>
      <c r="O63" s="43">
        <f t="shared" si="37"/>
        <v>0</v>
      </c>
      <c r="P63" s="43">
        <f t="shared" si="37"/>
        <v>0</v>
      </c>
      <c r="Q63" s="43">
        <f t="shared" si="37"/>
        <v>0</v>
      </c>
      <c r="R63" s="43">
        <f t="shared" si="37"/>
        <v>0</v>
      </c>
      <c r="S63" s="43">
        <f t="shared" si="37"/>
        <v>0</v>
      </c>
      <c r="T63" s="43">
        <f t="shared" si="37"/>
        <v>0</v>
      </c>
      <c r="U63" s="43">
        <f t="shared" si="37"/>
        <v>0</v>
      </c>
      <c r="V63" s="43">
        <f t="shared" si="37"/>
        <v>0</v>
      </c>
      <c r="W63" s="43">
        <f t="shared" si="37"/>
        <v>0</v>
      </c>
      <c r="X63" s="9"/>
      <c r="Y63" s="43">
        <f t="shared" si="30"/>
        <v>3428</v>
      </c>
      <c r="Z63" s="9"/>
      <c r="AA63" s="43">
        <f t="shared" si="31"/>
        <v>12100</v>
      </c>
    </row>
    <row r="64" spans="1:46" x14ac:dyDescent="0.2">
      <c r="B64" s="41">
        <f t="shared" si="28"/>
        <v>8</v>
      </c>
      <c r="C64" s="42" t="str">
        <f t="shared" si="28"/>
        <v>PL Cresta Ilíaca ®</v>
      </c>
      <c r="D64" s="43">
        <f t="shared" ref="D64:W64" si="38">D38^2</f>
        <v>841</v>
      </c>
      <c r="E64" s="43">
        <f t="shared" si="38"/>
        <v>10000</v>
      </c>
      <c r="F64" s="43">
        <f t="shared" si="38"/>
        <v>1296</v>
      </c>
      <c r="G64" s="43">
        <f t="shared" si="38"/>
        <v>1681</v>
      </c>
      <c r="H64" s="43">
        <f t="shared" si="38"/>
        <v>0</v>
      </c>
      <c r="I64" s="43">
        <f t="shared" si="38"/>
        <v>0</v>
      </c>
      <c r="J64" s="43">
        <f t="shared" si="38"/>
        <v>0</v>
      </c>
      <c r="K64" s="43">
        <f t="shared" si="38"/>
        <v>0</v>
      </c>
      <c r="L64" s="43">
        <f t="shared" si="38"/>
        <v>0</v>
      </c>
      <c r="M64" s="43">
        <f t="shared" si="38"/>
        <v>0</v>
      </c>
      <c r="N64" s="43">
        <f t="shared" si="38"/>
        <v>0</v>
      </c>
      <c r="O64" s="43">
        <f t="shared" si="38"/>
        <v>0</v>
      </c>
      <c r="P64" s="43">
        <f t="shared" si="38"/>
        <v>0</v>
      </c>
      <c r="Q64" s="43">
        <f t="shared" si="38"/>
        <v>0</v>
      </c>
      <c r="R64" s="43">
        <f t="shared" si="38"/>
        <v>0</v>
      </c>
      <c r="S64" s="43">
        <f t="shared" si="38"/>
        <v>0</v>
      </c>
      <c r="T64" s="43">
        <f t="shared" si="38"/>
        <v>0</v>
      </c>
      <c r="U64" s="43">
        <f t="shared" si="38"/>
        <v>0</v>
      </c>
      <c r="V64" s="43">
        <f t="shared" si="38"/>
        <v>0</v>
      </c>
      <c r="W64" s="43">
        <f t="shared" si="38"/>
        <v>0</v>
      </c>
      <c r="X64" s="9"/>
      <c r="Y64" s="43">
        <f t="shared" si="30"/>
        <v>13818</v>
      </c>
      <c r="Z64" s="9"/>
      <c r="AA64" s="43">
        <f t="shared" si="31"/>
        <v>42436</v>
      </c>
    </row>
    <row r="65" spans="1:46" x14ac:dyDescent="0.2">
      <c r="B65" s="41">
        <f t="shared" si="28"/>
        <v>9</v>
      </c>
      <c r="C65" s="42" t="str">
        <f t="shared" si="28"/>
        <v>PL Supraespinal ®</v>
      </c>
      <c r="D65" s="43">
        <f t="shared" ref="D65:W65" si="39">D39^2</f>
        <v>441</v>
      </c>
      <c r="E65" s="43">
        <f t="shared" si="39"/>
        <v>9604</v>
      </c>
      <c r="F65" s="43">
        <f t="shared" si="39"/>
        <v>841</v>
      </c>
      <c r="G65" s="43">
        <f t="shared" si="39"/>
        <v>2601</v>
      </c>
      <c r="H65" s="43">
        <f t="shared" si="39"/>
        <v>0</v>
      </c>
      <c r="I65" s="43">
        <f t="shared" si="39"/>
        <v>0</v>
      </c>
      <c r="J65" s="43">
        <f t="shared" si="39"/>
        <v>0</v>
      </c>
      <c r="K65" s="43">
        <f t="shared" si="39"/>
        <v>0</v>
      </c>
      <c r="L65" s="43">
        <f t="shared" si="39"/>
        <v>0</v>
      </c>
      <c r="M65" s="43">
        <f t="shared" si="39"/>
        <v>0</v>
      </c>
      <c r="N65" s="43">
        <f t="shared" si="39"/>
        <v>0</v>
      </c>
      <c r="O65" s="43">
        <f t="shared" si="39"/>
        <v>0</v>
      </c>
      <c r="P65" s="43">
        <f t="shared" si="39"/>
        <v>0</v>
      </c>
      <c r="Q65" s="43">
        <f t="shared" si="39"/>
        <v>0</v>
      </c>
      <c r="R65" s="43">
        <f t="shared" si="39"/>
        <v>0</v>
      </c>
      <c r="S65" s="43">
        <f t="shared" si="39"/>
        <v>0</v>
      </c>
      <c r="T65" s="43">
        <f t="shared" si="39"/>
        <v>0</v>
      </c>
      <c r="U65" s="43">
        <f t="shared" si="39"/>
        <v>0</v>
      </c>
      <c r="V65" s="43">
        <f t="shared" si="39"/>
        <v>0</v>
      </c>
      <c r="W65" s="43">
        <f t="shared" si="39"/>
        <v>0</v>
      </c>
      <c r="X65" s="9"/>
      <c r="Y65" s="43">
        <f t="shared" si="30"/>
        <v>13487</v>
      </c>
      <c r="Z65" s="9"/>
      <c r="AA65" s="43">
        <f t="shared" si="31"/>
        <v>39601</v>
      </c>
    </row>
    <row r="66" spans="1:46" x14ac:dyDescent="0.2">
      <c r="B66" s="41">
        <f t="shared" si="28"/>
        <v>10</v>
      </c>
      <c r="C66" s="42" t="str">
        <f t="shared" si="28"/>
        <v>PL Abdominal ®</v>
      </c>
      <c r="D66" s="43">
        <f t="shared" ref="D66:W66" si="40">D40^2</f>
        <v>576</v>
      </c>
      <c r="E66" s="43">
        <f t="shared" si="40"/>
        <v>25600</v>
      </c>
      <c r="F66" s="43">
        <f t="shared" si="40"/>
        <v>2304</v>
      </c>
      <c r="G66" s="43">
        <f t="shared" si="40"/>
        <v>3364</v>
      </c>
      <c r="H66" s="43">
        <f t="shared" si="40"/>
        <v>0</v>
      </c>
      <c r="I66" s="43">
        <f t="shared" si="40"/>
        <v>0</v>
      </c>
      <c r="J66" s="43">
        <f t="shared" si="40"/>
        <v>0</v>
      </c>
      <c r="K66" s="43">
        <f t="shared" si="40"/>
        <v>0</v>
      </c>
      <c r="L66" s="43">
        <f t="shared" si="40"/>
        <v>0</v>
      </c>
      <c r="M66" s="43">
        <f t="shared" si="40"/>
        <v>0</v>
      </c>
      <c r="N66" s="43">
        <f t="shared" si="40"/>
        <v>0</v>
      </c>
      <c r="O66" s="43">
        <f t="shared" si="40"/>
        <v>0</v>
      </c>
      <c r="P66" s="43">
        <f t="shared" si="40"/>
        <v>0</v>
      </c>
      <c r="Q66" s="43">
        <f t="shared" si="40"/>
        <v>0</v>
      </c>
      <c r="R66" s="43">
        <f t="shared" si="40"/>
        <v>0</v>
      </c>
      <c r="S66" s="43">
        <f t="shared" si="40"/>
        <v>0</v>
      </c>
      <c r="T66" s="43">
        <f t="shared" si="40"/>
        <v>0</v>
      </c>
      <c r="U66" s="43">
        <f t="shared" si="40"/>
        <v>0</v>
      </c>
      <c r="V66" s="43">
        <f t="shared" si="40"/>
        <v>0</v>
      </c>
      <c r="W66" s="43">
        <f t="shared" si="40"/>
        <v>0</v>
      </c>
      <c r="X66" s="9"/>
      <c r="Y66" s="43">
        <f t="shared" si="30"/>
        <v>31844</v>
      </c>
      <c r="Z66" s="9"/>
      <c r="AA66" s="43">
        <f t="shared" si="31"/>
        <v>84100</v>
      </c>
    </row>
    <row r="67" spans="1:46" x14ac:dyDescent="0.2">
      <c r="B67" s="41">
        <f t="shared" si="28"/>
        <v>11</v>
      </c>
      <c r="C67" s="42" t="str">
        <f t="shared" si="28"/>
        <v>PL Muslo ®</v>
      </c>
      <c r="D67" s="43">
        <f t="shared" ref="D67:W67" si="41">D41^2</f>
        <v>3721</v>
      </c>
      <c r="E67" s="43">
        <f t="shared" si="41"/>
        <v>21609</v>
      </c>
      <c r="F67" s="43">
        <f t="shared" si="41"/>
        <v>3969</v>
      </c>
      <c r="G67" s="43">
        <f t="shared" si="41"/>
        <v>2209</v>
      </c>
      <c r="H67" s="43">
        <f t="shared" si="41"/>
        <v>0</v>
      </c>
      <c r="I67" s="43">
        <f t="shared" si="41"/>
        <v>0</v>
      </c>
      <c r="J67" s="43">
        <f t="shared" si="41"/>
        <v>0</v>
      </c>
      <c r="K67" s="43">
        <f t="shared" si="41"/>
        <v>0</v>
      </c>
      <c r="L67" s="43">
        <f t="shared" si="41"/>
        <v>0</v>
      </c>
      <c r="M67" s="43">
        <f t="shared" si="41"/>
        <v>0</v>
      </c>
      <c r="N67" s="43">
        <f t="shared" si="41"/>
        <v>0</v>
      </c>
      <c r="O67" s="43">
        <f t="shared" si="41"/>
        <v>0</v>
      </c>
      <c r="P67" s="43">
        <f t="shared" si="41"/>
        <v>0</v>
      </c>
      <c r="Q67" s="43">
        <f t="shared" si="41"/>
        <v>0</v>
      </c>
      <c r="R67" s="43">
        <f t="shared" si="41"/>
        <v>0</v>
      </c>
      <c r="S67" s="43">
        <f t="shared" si="41"/>
        <v>0</v>
      </c>
      <c r="T67" s="43">
        <f t="shared" si="41"/>
        <v>0</v>
      </c>
      <c r="U67" s="43">
        <f t="shared" si="41"/>
        <v>0</v>
      </c>
      <c r="V67" s="43">
        <f t="shared" si="41"/>
        <v>0</v>
      </c>
      <c r="W67" s="43">
        <f t="shared" si="41"/>
        <v>0</v>
      </c>
      <c r="X67" s="9"/>
      <c r="Y67" s="43">
        <f t="shared" si="30"/>
        <v>31508</v>
      </c>
      <c r="Z67" s="9"/>
      <c r="AA67" s="43">
        <f t="shared" si="31"/>
        <v>101124</v>
      </c>
    </row>
    <row r="68" spans="1:46" x14ac:dyDescent="0.2">
      <c r="B68" s="41">
        <f t="shared" si="28"/>
        <v>12</v>
      </c>
      <c r="C68" s="42" t="str">
        <f t="shared" si="28"/>
        <v>PL Pierna ®</v>
      </c>
      <c r="D68" s="43">
        <f t="shared" ref="D68:W68" si="42">D42^2</f>
        <v>576</v>
      </c>
      <c r="E68" s="43">
        <f t="shared" si="42"/>
        <v>12100</v>
      </c>
      <c r="F68" s="43">
        <f t="shared" si="42"/>
        <v>2916</v>
      </c>
      <c r="G68" s="43">
        <f t="shared" si="42"/>
        <v>1849</v>
      </c>
      <c r="H68" s="43">
        <f t="shared" si="42"/>
        <v>0</v>
      </c>
      <c r="I68" s="43">
        <f t="shared" si="42"/>
        <v>0</v>
      </c>
      <c r="J68" s="43">
        <f t="shared" si="42"/>
        <v>0</v>
      </c>
      <c r="K68" s="43">
        <f t="shared" si="42"/>
        <v>0</v>
      </c>
      <c r="L68" s="43">
        <f t="shared" si="42"/>
        <v>0</v>
      </c>
      <c r="M68" s="43">
        <f t="shared" si="42"/>
        <v>0</v>
      </c>
      <c r="N68" s="43">
        <f t="shared" si="42"/>
        <v>0</v>
      </c>
      <c r="O68" s="43">
        <f t="shared" si="42"/>
        <v>0</v>
      </c>
      <c r="P68" s="43">
        <f t="shared" si="42"/>
        <v>0</v>
      </c>
      <c r="Q68" s="43">
        <f t="shared" si="42"/>
        <v>0</v>
      </c>
      <c r="R68" s="43">
        <f t="shared" si="42"/>
        <v>0</v>
      </c>
      <c r="S68" s="43">
        <f t="shared" si="42"/>
        <v>0</v>
      </c>
      <c r="T68" s="43">
        <f t="shared" si="42"/>
        <v>0</v>
      </c>
      <c r="U68" s="43">
        <f t="shared" si="42"/>
        <v>0</v>
      </c>
      <c r="V68" s="43">
        <f t="shared" si="42"/>
        <v>0</v>
      </c>
      <c r="W68" s="43">
        <f t="shared" si="42"/>
        <v>0</v>
      </c>
      <c r="X68" s="9"/>
      <c r="Y68" s="43">
        <f t="shared" si="30"/>
        <v>17441</v>
      </c>
      <c r="Z68" s="9"/>
      <c r="AA68" s="43">
        <f t="shared" si="31"/>
        <v>53361</v>
      </c>
    </row>
    <row r="69" spans="1:46" x14ac:dyDescent="0.2">
      <c r="B69" s="41">
        <f t="shared" si="28"/>
        <v>13</v>
      </c>
      <c r="C69" s="42" t="str">
        <f t="shared" si="28"/>
        <v>PR Brazo Relajado ®</v>
      </c>
      <c r="D69" s="43" t="e">
        <f t="shared" ref="D69:W69" si="43">D43^2</f>
        <v>#VALUE!</v>
      </c>
      <c r="E69" s="43">
        <f t="shared" si="43"/>
        <v>5329</v>
      </c>
      <c r="F69" s="43">
        <f t="shared" si="43"/>
        <v>2916</v>
      </c>
      <c r="G69" s="43">
        <f t="shared" si="43"/>
        <v>3136</v>
      </c>
      <c r="H69" s="43">
        <f t="shared" si="43"/>
        <v>0</v>
      </c>
      <c r="I69" s="43">
        <f t="shared" si="43"/>
        <v>0</v>
      </c>
      <c r="J69" s="43">
        <f t="shared" si="43"/>
        <v>0</v>
      </c>
      <c r="K69" s="43">
        <f t="shared" si="43"/>
        <v>0</v>
      </c>
      <c r="L69" s="43">
        <f t="shared" si="43"/>
        <v>0</v>
      </c>
      <c r="M69" s="43">
        <f t="shared" si="43"/>
        <v>0</v>
      </c>
      <c r="N69" s="43">
        <f t="shared" si="43"/>
        <v>0</v>
      </c>
      <c r="O69" s="43">
        <f t="shared" si="43"/>
        <v>0</v>
      </c>
      <c r="P69" s="43">
        <f t="shared" si="43"/>
        <v>0</v>
      </c>
      <c r="Q69" s="43">
        <f t="shared" si="43"/>
        <v>0</v>
      </c>
      <c r="R69" s="43">
        <f t="shared" si="43"/>
        <v>0</v>
      </c>
      <c r="S69" s="43">
        <f t="shared" si="43"/>
        <v>0</v>
      </c>
      <c r="T69" s="43">
        <f t="shared" si="43"/>
        <v>0</v>
      </c>
      <c r="U69" s="43">
        <f t="shared" si="43"/>
        <v>0</v>
      </c>
      <c r="V69" s="43">
        <f t="shared" si="43"/>
        <v>0</v>
      </c>
      <c r="W69" s="43">
        <f t="shared" si="43"/>
        <v>0</v>
      </c>
      <c r="X69" s="9"/>
      <c r="Y69" s="43" t="e">
        <f t="shared" si="30"/>
        <v>#VALUE!</v>
      </c>
      <c r="Z69" s="9"/>
      <c r="AA69" s="43" t="e">
        <f t="shared" si="31"/>
        <v>#VALUE!</v>
      </c>
    </row>
    <row r="70" spans="1:46" x14ac:dyDescent="0.2">
      <c r="B70" s="41">
        <f t="shared" si="28"/>
        <v>14</v>
      </c>
      <c r="C70" s="42" t="str">
        <f t="shared" si="28"/>
        <v>PR Brazo Flexionado y Contraído ®</v>
      </c>
      <c r="D70" s="43">
        <f t="shared" ref="D70:W70" si="44">D44^2</f>
        <v>2916</v>
      </c>
      <c r="E70" s="43">
        <f t="shared" si="44"/>
        <v>5776</v>
      </c>
      <c r="F70" s="43">
        <f t="shared" si="44"/>
        <v>2704</v>
      </c>
      <c r="G70" s="43">
        <f t="shared" si="44"/>
        <v>4096</v>
      </c>
      <c r="H70" s="43">
        <f t="shared" si="44"/>
        <v>0</v>
      </c>
      <c r="I70" s="43">
        <f t="shared" si="44"/>
        <v>0</v>
      </c>
      <c r="J70" s="43">
        <f t="shared" si="44"/>
        <v>0</v>
      </c>
      <c r="K70" s="43">
        <f t="shared" si="44"/>
        <v>0</v>
      </c>
      <c r="L70" s="43">
        <f t="shared" si="44"/>
        <v>0</v>
      </c>
      <c r="M70" s="43">
        <f t="shared" si="44"/>
        <v>0</v>
      </c>
      <c r="N70" s="43">
        <f t="shared" si="44"/>
        <v>0</v>
      </c>
      <c r="O70" s="43">
        <f t="shared" si="44"/>
        <v>0</v>
      </c>
      <c r="P70" s="43">
        <f t="shared" si="44"/>
        <v>0</v>
      </c>
      <c r="Q70" s="43">
        <f t="shared" si="44"/>
        <v>0</v>
      </c>
      <c r="R70" s="43">
        <f t="shared" si="44"/>
        <v>0</v>
      </c>
      <c r="S70" s="43">
        <f t="shared" si="44"/>
        <v>0</v>
      </c>
      <c r="T70" s="43">
        <f t="shared" si="44"/>
        <v>0</v>
      </c>
      <c r="U70" s="43">
        <f t="shared" si="44"/>
        <v>0</v>
      </c>
      <c r="V70" s="43">
        <f t="shared" si="44"/>
        <v>0</v>
      </c>
      <c r="W70" s="43">
        <f t="shared" si="44"/>
        <v>0</v>
      </c>
      <c r="X70" s="9"/>
      <c r="Y70" s="43">
        <f t="shared" si="30"/>
        <v>15492</v>
      </c>
      <c r="Z70" s="9"/>
      <c r="AA70" s="43">
        <f t="shared" si="31"/>
        <v>60516</v>
      </c>
    </row>
    <row r="71" spans="1:46" x14ac:dyDescent="0.2">
      <c r="B71" s="41">
        <f t="shared" si="28"/>
        <v>15</v>
      </c>
      <c r="C71" s="42" t="str">
        <f t="shared" si="28"/>
        <v>PR Cintura ®</v>
      </c>
      <c r="D71" s="43" t="e">
        <f t="shared" ref="D71:W71" si="45">D45^2</f>
        <v>#VALUE!</v>
      </c>
      <c r="E71" s="43">
        <f t="shared" si="45"/>
        <v>40000</v>
      </c>
      <c r="F71" s="43" t="e">
        <f t="shared" si="45"/>
        <v>#VALUE!</v>
      </c>
      <c r="G71" s="43" t="e">
        <f t="shared" si="45"/>
        <v>#VALUE!</v>
      </c>
      <c r="H71" s="43">
        <f t="shared" si="45"/>
        <v>0</v>
      </c>
      <c r="I71" s="43">
        <f t="shared" si="45"/>
        <v>0</v>
      </c>
      <c r="J71" s="43">
        <f t="shared" si="45"/>
        <v>0</v>
      </c>
      <c r="K71" s="43">
        <f t="shared" si="45"/>
        <v>0</v>
      </c>
      <c r="L71" s="43">
        <f t="shared" si="45"/>
        <v>0</v>
      </c>
      <c r="M71" s="43">
        <f t="shared" si="45"/>
        <v>0</v>
      </c>
      <c r="N71" s="43">
        <f t="shared" si="45"/>
        <v>0</v>
      </c>
      <c r="O71" s="43">
        <f t="shared" si="45"/>
        <v>0</v>
      </c>
      <c r="P71" s="43">
        <f t="shared" si="45"/>
        <v>0</v>
      </c>
      <c r="Q71" s="43">
        <f t="shared" si="45"/>
        <v>0</v>
      </c>
      <c r="R71" s="43">
        <f t="shared" si="45"/>
        <v>0</v>
      </c>
      <c r="S71" s="43">
        <f t="shared" si="45"/>
        <v>0</v>
      </c>
      <c r="T71" s="43">
        <f t="shared" si="45"/>
        <v>0</v>
      </c>
      <c r="U71" s="43">
        <f t="shared" si="45"/>
        <v>0</v>
      </c>
      <c r="V71" s="43">
        <f t="shared" si="45"/>
        <v>0</v>
      </c>
      <c r="W71" s="43">
        <f t="shared" si="45"/>
        <v>0</v>
      </c>
      <c r="X71" s="9"/>
      <c r="Y71" s="43" t="e">
        <f t="shared" si="30"/>
        <v>#VALUE!</v>
      </c>
      <c r="Z71" s="9"/>
      <c r="AA71" s="43" t="e">
        <f t="shared" si="31"/>
        <v>#VALUE!</v>
      </c>
    </row>
    <row r="72" spans="1:46" x14ac:dyDescent="0.2">
      <c r="B72" s="41">
        <f t="shared" si="28"/>
        <v>16</v>
      </c>
      <c r="C72" s="42" t="str">
        <f t="shared" si="28"/>
        <v>PR Caderas ®</v>
      </c>
      <c r="D72" s="43" t="e">
        <f t="shared" ref="D72:W72" si="46">D46^2</f>
        <v>#VALUE!</v>
      </c>
      <c r="E72" s="43">
        <f t="shared" si="46"/>
        <v>59049</v>
      </c>
      <c r="F72" s="43">
        <f t="shared" si="46"/>
        <v>37636</v>
      </c>
      <c r="G72" s="43">
        <f t="shared" si="46"/>
        <v>40602.25</v>
      </c>
      <c r="H72" s="43">
        <f t="shared" si="46"/>
        <v>0</v>
      </c>
      <c r="I72" s="43">
        <f t="shared" si="46"/>
        <v>0</v>
      </c>
      <c r="J72" s="43">
        <f t="shared" si="46"/>
        <v>0</v>
      </c>
      <c r="K72" s="43">
        <f t="shared" si="46"/>
        <v>0</v>
      </c>
      <c r="L72" s="43">
        <f t="shared" si="46"/>
        <v>0</v>
      </c>
      <c r="M72" s="43">
        <f t="shared" si="46"/>
        <v>0</v>
      </c>
      <c r="N72" s="43">
        <f t="shared" si="46"/>
        <v>0</v>
      </c>
      <c r="O72" s="43">
        <f t="shared" si="46"/>
        <v>0</v>
      </c>
      <c r="P72" s="43">
        <f t="shared" si="46"/>
        <v>0</v>
      </c>
      <c r="Q72" s="43">
        <f t="shared" si="46"/>
        <v>0</v>
      </c>
      <c r="R72" s="43">
        <f t="shared" si="46"/>
        <v>0</v>
      </c>
      <c r="S72" s="43">
        <f t="shared" si="46"/>
        <v>0</v>
      </c>
      <c r="T72" s="43">
        <f t="shared" si="46"/>
        <v>0</v>
      </c>
      <c r="U72" s="43">
        <f t="shared" si="46"/>
        <v>0</v>
      </c>
      <c r="V72" s="43">
        <f t="shared" si="46"/>
        <v>0</v>
      </c>
      <c r="W72" s="43">
        <f t="shared" si="46"/>
        <v>0</v>
      </c>
      <c r="X72" s="9"/>
      <c r="Y72" s="43" t="e">
        <f t="shared" si="30"/>
        <v>#VALUE!</v>
      </c>
      <c r="Z72" s="9"/>
      <c r="AA72" s="43" t="e">
        <f t="shared" si="31"/>
        <v>#VALUE!</v>
      </c>
    </row>
    <row r="73" spans="1:46" x14ac:dyDescent="0.2">
      <c r="B73" s="41">
        <f t="shared" si="28"/>
        <v>17</v>
      </c>
      <c r="C73" s="42" t="str">
        <f t="shared" si="28"/>
        <v>PR Muslo Medio ®</v>
      </c>
      <c r="D73" s="43" t="e">
        <f t="shared" ref="D73:W73" si="47">D47^2</f>
        <v>#VALUE!</v>
      </c>
      <c r="E73" s="43">
        <f t="shared" si="47"/>
        <v>16770.25</v>
      </c>
      <c r="F73" s="43">
        <f t="shared" si="47"/>
        <v>11025</v>
      </c>
      <c r="G73" s="43">
        <f t="shared" si="47"/>
        <v>11556.25</v>
      </c>
      <c r="H73" s="43">
        <f t="shared" si="47"/>
        <v>0</v>
      </c>
      <c r="I73" s="43">
        <f t="shared" si="47"/>
        <v>0</v>
      </c>
      <c r="J73" s="43">
        <f t="shared" si="47"/>
        <v>0</v>
      </c>
      <c r="K73" s="43">
        <f t="shared" si="47"/>
        <v>0</v>
      </c>
      <c r="L73" s="43">
        <f t="shared" si="47"/>
        <v>0</v>
      </c>
      <c r="M73" s="43">
        <f t="shared" si="47"/>
        <v>0</v>
      </c>
      <c r="N73" s="43">
        <f t="shared" si="47"/>
        <v>0</v>
      </c>
      <c r="O73" s="43">
        <f t="shared" si="47"/>
        <v>0</v>
      </c>
      <c r="P73" s="43">
        <f t="shared" si="47"/>
        <v>0</v>
      </c>
      <c r="Q73" s="43">
        <f t="shared" si="47"/>
        <v>0</v>
      </c>
      <c r="R73" s="43">
        <f t="shared" si="47"/>
        <v>0</v>
      </c>
      <c r="S73" s="43">
        <f t="shared" si="47"/>
        <v>0</v>
      </c>
      <c r="T73" s="43">
        <f t="shared" si="47"/>
        <v>0</v>
      </c>
      <c r="U73" s="43">
        <f t="shared" si="47"/>
        <v>0</v>
      </c>
      <c r="V73" s="43">
        <f t="shared" si="47"/>
        <v>0</v>
      </c>
      <c r="W73" s="43">
        <f t="shared" si="47"/>
        <v>0</v>
      </c>
      <c r="X73" s="9"/>
      <c r="Y73" s="43" t="e">
        <f t="shared" si="30"/>
        <v>#VALUE!</v>
      </c>
      <c r="Z73" s="9"/>
      <c r="AA73" s="43" t="e">
        <f t="shared" si="31"/>
        <v>#VALUE!</v>
      </c>
    </row>
    <row r="74" spans="1:46" x14ac:dyDescent="0.2">
      <c r="B74" s="41">
        <f t="shared" si="28"/>
        <v>18</v>
      </c>
      <c r="C74" s="42" t="str">
        <f t="shared" si="28"/>
        <v>PR Pierna ®</v>
      </c>
      <c r="D74" s="43">
        <f t="shared" ref="D74:W74" si="48">D48^2</f>
        <v>4096</v>
      </c>
      <c r="E74" s="43">
        <f t="shared" si="48"/>
        <v>8482.41</v>
      </c>
      <c r="F74" s="43" t="e">
        <f t="shared" si="48"/>
        <v>#VALUE!</v>
      </c>
      <c r="G74" s="43" t="e">
        <f t="shared" si="48"/>
        <v>#VALUE!</v>
      </c>
      <c r="H74" s="43">
        <f t="shared" si="48"/>
        <v>0</v>
      </c>
      <c r="I74" s="43">
        <f t="shared" si="48"/>
        <v>0</v>
      </c>
      <c r="J74" s="43">
        <f t="shared" si="48"/>
        <v>0</v>
      </c>
      <c r="K74" s="43">
        <f t="shared" si="48"/>
        <v>0</v>
      </c>
      <c r="L74" s="43">
        <f t="shared" si="48"/>
        <v>0</v>
      </c>
      <c r="M74" s="43">
        <f t="shared" si="48"/>
        <v>0</v>
      </c>
      <c r="N74" s="43">
        <f t="shared" si="48"/>
        <v>0</v>
      </c>
      <c r="O74" s="43">
        <f t="shared" si="48"/>
        <v>0</v>
      </c>
      <c r="P74" s="43">
        <f t="shared" si="48"/>
        <v>0</v>
      </c>
      <c r="Q74" s="43">
        <f t="shared" si="48"/>
        <v>0</v>
      </c>
      <c r="R74" s="43">
        <f t="shared" si="48"/>
        <v>0</v>
      </c>
      <c r="S74" s="43">
        <f t="shared" si="48"/>
        <v>0</v>
      </c>
      <c r="T74" s="43">
        <f t="shared" si="48"/>
        <v>0</v>
      </c>
      <c r="U74" s="43">
        <f t="shared" si="48"/>
        <v>0</v>
      </c>
      <c r="V74" s="43">
        <f t="shared" si="48"/>
        <v>0</v>
      </c>
      <c r="W74" s="43">
        <f t="shared" si="48"/>
        <v>0</v>
      </c>
      <c r="X74" s="9"/>
      <c r="Y74" s="43" t="e">
        <f t="shared" si="30"/>
        <v>#VALUE!</v>
      </c>
      <c r="Z74" s="9"/>
      <c r="AA74" s="43" t="e">
        <f t="shared" si="31"/>
        <v>#VALUE!</v>
      </c>
    </row>
    <row r="75" spans="1:46" x14ac:dyDescent="0.2">
      <c r="B75" s="41">
        <f t="shared" si="28"/>
        <v>19</v>
      </c>
      <c r="C75" s="42" t="str">
        <f t="shared" si="28"/>
        <v>D Húmero ®</v>
      </c>
      <c r="D75" s="43">
        <f t="shared" ref="D75:W75" si="49">D49^2</f>
        <v>309.76000000000005</v>
      </c>
      <c r="E75" s="43">
        <f t="shared" si="49"/>
        <v>331.23999999999995</v>
      </c>
      <c r="F75" s="43" t="e">
        <f t="shared" si="49"/>
        <v>#VALUE!</v>
      </c>
      <c r="G75" s="43">
        <f t="shared" si="49"/>
        <v>163.84000000000003</v>
      </c>
      <c r="H75" s="43">
        <f t="shared" si="49"/>
        <v>0</v>
      </c>
      <c r="I75" s="43">
        <f t="shared" si="49"/>
        <v>0</v>
      </c>
      <c r="J75" s="43">
        <f t="shared" si="49"/>
        <v>0</v>
      </c>
      <c r="K75" s="43">
        <f t="shared" si="49"/>
        <v>0</v>
      </c>
      <c r="L75" s="43">
        <f t="shared" si="49"/>
        <v>0</v>
      </c>
      <c r="M75" s="43">
        <f t="shared" si="49"/>
        <v>0</v>
      </c>
      <c r="N75" s="43">
        <f t="shared" si="49"/>
        <v>0</v>
      </c>
      <c r="O75" s="43">
        <f t="shared" si="49"/>
        <v>0</v>
      </c>
      <c r="P75" s="43">
        <f t="shared" si="49"/>
        <v>0</v>
      </c>
      <c r="Q75" s="43">
        <f t="shared" si="49"/>
        <v>0</v>
      </c>
      <c r="R75" s="43">
        <f t="shared" si="49"/>
        <v>0</v>
      </c>
      <c r="S75" s="43">
        <f t="shared" si="49"/>
        <v>0</v>
      </c>
      <c r="T75" s="43">
        <f t="shared" si="49"/>
        <v>0</v>
      </c>
      <c r="U75" s="43">
        <f t="shared" si="49"/>
        <v>0</v>
      </c>
      <c r="V75" s="43">
        <f t="shared" si="49"/>
        <v>0</v>
      </c>
      <c r="W75" s="43">
        <f t="shared" si="49"/>
        <v>0</v>
      </c>
      <c r="X75" s="9"/>
      <c r="Y75" s="43" t="e">
        <f t="shared" si="30"/>
        <v>#VALUE!</v>
      </c>
      <c r="Z75" s="9"/>
      <c r="AA75" s="43" t="e">
        <f t="shared" si="31"/>
        <v>#VALUE!</v>
      </c>
    </row>
    <row r="76" spans="1:46" x14ac:dyDescent="0.2">
      <c r="B76" s="41">
        <f t="shared" si="28"/>
        <v>20</v>
      </c>
      <c r="C76" s="42" t="str">
        <f t="shared" si="28"/>
        <v>D Biestiloideo ®</v>
      </c>
      <c r="D76" s="43">
        <f t="shared" ref="D76:W76" si="50">D50^2</f>
        <v>196</v>
      </c>
      <c r="E76" s="43">
        <f t="shared" si="50"/>
        <v>302.75999999999993</v>
      </c>
      <c r="F76" s="43" t="e">
        <f t="shared" si="50"/>
        <v>#VALUE!</v>
      </c>
      <c r="G76" s="43" t="e">
        <f t="shared" si="50"/>
        <v>#VALUE!</v>
      </c>
      <c r="H76" s="43">
        <f t="shared" si="50"/>
        <v>0</v>
      </c>
      <c r="I76" s="43">
        <f t="shared" si="50"/>
        <v>0</v>
      </c>
      <c r="J76" s="43">
        <f t="shared" si="50"/>
        <v>0</v>
      </c>
      <c r="K76" s="43">
        <f t="shared" si="50"/>
        <v>0</v>
      </c>
      <c r="L76" s="43">
        <f t="shared" si="50"/>
        <v>0</v>
      </c>
      <c r="M76" s="43">
        <f t="shared" si="50"/>
        <v>0</v>
      </c>
      <c r="N76" s="43">
        <f t="shared" si="50"/>
        <v>0</v>
      </c>
      <c r="O76" s="43">
        <f t="shared" si="50"/>
        <v>0</v>
      </c>
      <c r="P76" s="43">
        <f t="shared" si="50"/>
        <v>0</v>
      </c>
      <c r="Q76" s="43">
        <f t="shared" si="50"/>
        <v>0</v>
      </c>
      <c r="R76" s="43">
        <f t="shared" si="50"/>
        <v>0</v>
      </c>
      <c r="S76" s="43">
        <f t="shared" si="50"/>
        <v>0</v>
      </c>
      <c r="T76" s="43">
        <f t="shared" si="50"/>
        <v>0</v>
      </c>
      <c r="U76" s="43">
        <f t="shared" si="50"/>
        <v>0</v>
      </c>
      <c r="V76" s="43">
        <f t="shared" si="50"/>
        <v>0</v>
      </c>
      <c r="W76" s="43">
        <f t="shared" si="50"/>
        <v>0</v>
      </c>
      <c r="X76" s="9"/>
      <c r="Y76" s="43" t="e">
        <f t="shared" si="30"/>
        <v>#VALUE!</v>
      </c>
      <c r="Z76" s="9"/>
      <c r="AA76" s="43" t="e">
        <f t="shared" si="31"/>
        <v>#VALUE!</v>
      </c>
    </row>
    <row r="77" spans="1:46" ht="13.5" thickBot="1" x14ac:dyDescent="0.25">
      <c r="B77" s="44">
        <f t="shared" si="28"/>
        <v>21</v>
      </c>
      <c r="C77" s="45" t="str">
        <f t="shared" si="28"/>
        <v>D Fémur ®</v>
      </c>
      <c r="D77" s="46">
        <f t="shared" ref="D77:W77" si="51">D51^2</f>
        <v>484</v>
      </c>
      <c r="E77" s="46">
        <f t="shared" si="51"/>
        <v>812.25</v>
      </c>
      <c r="F77" s="46" t="e">
        <f t="shared" si="51"/>
        <v>#VALUE!</v>
      </c>
      <c r="G77" s="46" t="e">
        <f t="shared" si="51"/>
        <v>#VALUE!</v>
      </c>
      <c r="H77" s="46">
        <f t="shared" si="51"/>
        <v>0</v>
      </c>
      <c r="I77" s="46">
        <f t="shared" si="51"/>
        <v>0</v>
      </c>
      <c r="J77" s="46">
        <f t="shared" si="51"/>
        <v>0</v>
      </c>
      <c r="K77" s="46">
        <f t="shared" si="51"/>
        <v>0</v>
      </c>
      <c r="L77" s="46">
        <f t="shared" si="51"/>
        <v>0</v>
      </c>
      <c r="M77" s="46">
        <f t="shared" si="51"/>
        <v>0</v>
      </c>
      <c r="N77" s="46">
        <f t="shared" si="51"/>
        <v>0</v>
      </c>
      <c r="O77" s="46">
        <f t="shared" si="51"/>
        <v>0</v>
      </c>
      <c r="P77" s="46">
        <f t="shared" si="51"/>
        <v>0</v>
      </c>
      <c r="Q77" s="46">
        <f t="shared" si="51"/>
        <v>0</v>
      </c>
      <c r="R77" s="46">
        <f t="shared" si="51"/>
        <v>0</v>
      </c>
      <c r="S77" s="46">
        <f t="shared" si="51"/>
        <v>0</v>
      </c>
      <c r="T77" s="46">
        <f t="shared" si="51"/>
        <v>0</v>
      </c>
      <c r="U77" s="46">
        <f t="shared" si="51"/>
        <v>0</v>
      </c>
      <c r="V77" s="46">
        <f t="shared" si="51"/>
        <v>0</v>
      </c>
      <c r="W77" s="46">
        <f t="shared" si="51"/>
        <v>0</v>
      </c>
      <c r="X77" s="9"/>
      <c r="Y77" s="46" t="e">
        <f t="shared" si="30"/>
        <v>#VALUE!</v>
      </c>
      <c r="Z77" s="9"/>
      <c r="AA77" s="46" t="e">
        <f t="shared" si="31"/>
        <v>#VALUE!</v>
      </c>
    </row>
    <row r="78" spans="1:46" ht="22.9" customHeight="1" x14ac:dyDescent="0.2"/>
    <row r="79" spans="1:46" ht="23.25" x14ac:dyDescent="0.2">
      <c r="A79" s="17"/>
      <c r="B79" s="256" t="str">
        <f>IF(Info!J3, "SQUARE OF MEASURES", "CUADRADOS DE LAS MEDIDAS")</f>
        <v>CUADRADOS DE LAS MEDIDAS</v>
      </c>
      <c r="C79" s="256"/>
      <c r="D79" s="256"/>
      <c r="E79" s="256"/>
      <c r="F79" s="256"/>
      <c r="G79" s="256"/>
      <c r="H79" s="256"/>
      <c r="I79" s="256"/>
      <c r="J79" s="256"/>
      <c r="K79" s="256"/>
      <c r="L79" s="256"/>
      <c r="M79" s="256"/>
      <c r="N79" s="256"/>
      <c r="O79" s="256"/>
      <c r="P79" s="256"/>
      <c r="Q79" s="256"/>
      <c r="R79" s="256"/>
      <c r="S79" s="256"/>
      <c r="T79" s="256"/>
      <c r="U79" s="256"/>
      <c r="V79" s="256"/>
      <c r="W79" s="256"/>
      <c r="X79" s="256"/>
      <c r="Y79" s="256"/>
      <c r="Z79" s="256"/>
      <c r="AA79" s="256"/>
      <c r="AB79" s="256"/>
      <c r="AC79" s="256"/>
      <c r="AD79" s="256"/>
      <c r="AE79" s="256"/>
      <c r="AF79" s="256"/>
      <c r="AG79" s="256"/>
      <c r="AH79" s="256"/>
      <c r="AI79" s="256"/>
      <c r="AJ79" s="256"/>
      <c r="AK79" s="256"/>
      <c r="AL79" s="256"/>
      <c r="AM79" s="256"/>
      <c r="AN79" s="256"/>
      <c r="AO79" s="256"/>
      <c r="AP79" s="256"/>
      <c r="AQ79" s="256"/>
      <c r="AR79" s="256"/>
      <c r="AS79" s="256"/>
      <c r="AT79" s="256"/>
    </row>
    <row r="80" spans="1:46" ht="13.5" thickBot="1" x14ac:dyDescent="0.25"/>
    <row r="81" spans="2:45" x14ac:dyDescent="0.2">
      <c r="B81" s="17"/>
      <c r="D81" s="295" t="s">
        <v>0</v>
      </c>
      <c r="E81" s="296"/>
      <c r="F81" s="295" t="s">
        <v>1</v>
      </c>
      <c r="G81" s="296"/>
      <c r="H81" s="295" t="s">
        <v>2</v>
      </c>
      <c r="I81" s="296"/>
      <c r="J81" s="295" t="s">
        <v>3</v>
      </c>
      <c r="K81" s="296"/>
      <c r="L81" s="295" t="s">
        <v>4</v>
      </c>
      <c r="M81" s="296"/>
      <c r="N81" s="295" t="s">
        <v>5</v>
      </c>
      <c r="O81" s="296"/>
      <c r="P81" s="295" t="s">
        <v>6</v>
      </c>
      <c r="Q81" s="296"/>
      <c r="R81" s="295" t="s">
        <v>7</v>
      </c>
      <c r="S81" s="296"/>
      <c r="T81" s="295" t="s">
        <v>8</v>
      </c>
      <c r="U81" s="296"/>
      <c r="V81" s="295" t="s">
        <v>9</v>
      </c>
      <c r="W81" s="296"/>
      <c r="X81" s="295" t="s">
        <v>10</v>
      </c>
      <c r="Y81" s="296"/>
      <c r="Z81" s="295" t="s">
        <v>11</v>
      </c>
      <c r="AA81" s="296"/>
      <c r="AB81" s="295" t="s">
        <v>12</v>
      </c>
      <c r="AC81" s="296"/>
      <c r="AD81" s="295" t="s">
        <v>13</v>
      </c>
      <c r="AE81" s="296"/>
      <c r="AF81" s="295" t="s">
        <v>14</v>
      </c>
      <c r="AG81" s="296"/>
      <c r="AH81" s="295" t="s">
        <v>15</v>
      </c>
      <c r="AI81" s="296"/>
      <c r="AJ81" s="295" t="s">
        <v>16</v>
      </c>
      <c r="AK81" s="296"/>
      <c r="AL81" s="295" t="s">
        <v>17</v>
      </c>
      <c r="AM81" s="296"/>
      <c r="AN81" s="295" t="s">
        <v>18</v>
      </c>
      <c r="AO81" s="296"/>
      <c r="AP81" s="295" t="s">
        <v>19</v>
      </c>
      <c r="AQ81" s="296"/>
      <c r="AR81" s="17"/>
      <c r="AS81" s="24" t="str">
        <f>Y55</f>
        <v>Suma</v>
      </c>
    </row>
    <row r="82" spans="2:45" ht="13.5" thickBot="1" x14ac:dyDescent="0.25">
      <c r="B82" s="17"/>
      <c r="C82" s="32"/>
      <c r="D82" s="22" t="str">
        <f t="shared" ref="D82:AQ82" si="52">D4</f>
        <v>medida 1</v>
      </c>
      <c r="E82" s="23" t="str">
        <f t="shared" si="52"/>
        <v>medida 2</v>
      </c>
      <c r="F82" s="22" t="str">
        <f t="shared" si="52"/>
        <v>medida 1</v>
      </c>
      <c r="G82" s="23" t="str">
        <f t="shared" si="52"/>
        <v>medida 2</v>
      </c>
      <c r="H82" s="22" t="str">
        <f t="shared" si="52"/>
        <v>medida 1</v>
      </c>
      <c r="I82" s="23" t="str">
        <f t="shared" si="52"/>
        <v>medida 2</v>
      </c>
      <c r="J82" s="22" t="str">
        <f t="shared" si="52"/>
        <v>medida 1</v>
      </c>
      <c r="K82" s="23" t="str">
        <f t="shared" si="52"/>
        <v>medida 2</v>
      </c>
      <c r="L82" s="22" t="str">
        <f t="shared" si="52"/>
        <v>medida 1</v>
      </c>
      <c r="M82" s="23" t="str">
        <f t="shared" si="52"/>
        <v>medida 2</v>
      </c>
      <c r="N82" s="22" t="str">
        <f t="shared" si="52"/>
        <v>medida 1</v>
      </c>
      <c r="O82" s="23" t="str">
        <f t="shared" si="52"/>
        <v>medida 2</v>
      </c>
      <c r="P82" s="22" t="str">
        <f t="shared" si="52"/>
        <v>medida 1</v>
      </c>
      <c r="Q82" s="23" t="str">
        <f t="shared" si="52"/>
        <v>medida 2</v>
      </c>
      <c r="R82" s="22" t="str">
        <f t="shared" si="52"/>
        <v>medida 1</v>
      </c>
      <c r="S82" s="23" t="str">
        <f t="shared" si="52"/>
        <v>medida 2</v>
      </c>
      <c r="T82" s="22" t="str">
        <f t="shared" si="52"/>
        <v>medida 1</v>
      </c>
      <c r="U82" s="23" t="str">
        <f t="shared" si="52"/>
        <v>medida 2</v>
      </c>
      <c r="V82" s="22" t="str">
        <f t="shared" si="52"/>
        <v>medida 1</v>
      </c>
      <c r="W82" s="23" t="str">
        <f t="shared" si="52"/>
        <v>medida 2</v>
      </c>
      <c r="X82" s="22" t="str">
        <f t="shared" si="52"/>
        <v>medida 1</v>
      </c>
      <c r="Y82" s="23" t="str">
        <f t="shared" si="52"/>
        <v>medida 2</v>
      </c>
      <c r="Z82" s="22" t="str">
        <f t="shared" si="52"/>
        <v>medida 1</v>
      </c>
      <c r="AA82" s="23" t="str">
        <f t="shared" si="52"/>
        <v>medida 2</v>
      </c>
      <c r="AB82" s="22" t="str">
        <f t="shared" si="52"/>
        <v>medida 1</v>
      </c>
      <c r="AC82" s="23" t="str">
        <f t="shared" si="52"/>
        <v>medida 2</v>
      </c>
      <c r="AD82" s="22" t="str">
        <f t="shared" si="52"/>
        <v>medida 1</v>
      </c>
      <c r="AE82" s="23" t="str">
        <f t="shared" si="52"/>
        <v>medida 2</v>
      </c>
      <c r="AF82" s="22" t="str">
        <f t="shared" si="52"/>
        <v>medida 1</v>
      </c>
      <c r="AG82" s="23" t="str">
        <f t="shared" si="52"/>
        <v>medida 2</v>
      </c>
      <c r="AH82" s="22" t="str">
        <f t="shared" si="52"/>
        <v>medida 1</v>
      </c>
      <c r="AI82" s="23" t="str">
        <f t="shared" si="52"/>
        <v>medida 2</v>
      </c>
      <c r="AJ82" s="22" t="str">
        <f t="shared" si="52"/>
        <v>medida 1</v>
      </c>
      <c r="AK82" s="23" t="str">
        <f t="shared" si="52"/>
        <v>medida 2</v>
      </c>
      <c r="AL82" s="22" t="str">
        <f t="shared" si="52"/>
        <v>medida 1</v>
      </c>
      <c r="AM82" s="23" t="str">
        <f t="shared" si="52"/>
        <v>medida 2</v>
      </c>
      <c r="AN82" s="22" t="str">
        <f t="shared" si="52"/>
        <v>medida 1</v>
      </c>
      <c r="AO82" s="23" t="str">
        <f t="shared" si="52"/>
        <v>medida 2</v>
      </c>
      <c r="AP82" s="22" t="str">
        <f t="shared" si="52"/>
        <v>medida 1</v>
      </c>
      <c r="AQ82" s="23" t="str">
        <f t="shared" si="52"/>
        <v>medida 2</v>
      </c>
      <c r="AR82" s="17"/>
      <c r="AS82" s="27" t="str">
        <f>AE30</f>
        <v>med 1+2</v>
      </c>
    </row>
    <row r="83" spans="2:45" x14ac:dyDescent="0.2">
      <c r="B83" s="37">
        <f t="shared" ref="B83:C103" si="53">B57</f>
        <v>1</v>
      </c>
      <c r="C83" s="47" t="str">
        <f t="shared" si="53"/>
        <v>Masa Corporal ®</v>
      </c>
      <c r="D83" s="25">
        <f t="shared" ref="D83:AQ83" si="54">D5^2</f>
        <v>2937.6400000000003</v>
      </c>
      <c r="E83" s="115">
        <f t="shared" si="54"/>
        <v>2937.6400000000003</v>
      </c>
      <c r="F83" s="25">
        <f t="shared" si="54"/>
        <v>11664</v>
      </c>
      <c r="G83" s="115">
        <f t="shared" si="54"/>
        <v>11664</v>
      </c>
      <c r="H83" s="25">
        <f t="shared" si="54"/>
        <v>3003.0399999999995</v>
      </c>
      <c r="I83" s="115">
        <f t="shared" si="54"/>
        <v>3003.0399999999995</v>
      </c>
      <c r="J83" s="25">
        <f t="shared" si="54"/>
        <v>5140.8900000000003</v>
      </c>
      <c r="K83" s="115">
        <f t="shared" si="54"/>
        <v>5140.8900000000003</v>
      </c>
      <c r="L83" s="25">
        <f t="shared" si="54"/>
        <v>0</v>
      </c>
      <c r="M83" s="115">
        <f t="shared" si="54"/>
        <v>0</v>
      </c>
      <c r="N83" s="25">
        <f t="shared" si="54"/>
        <v>0</v>
      </c>
      <c r="O83" s="115">
        <f t="shared" si="54"/>
        <v>0</v>
      </c>
      <c r="P83" s="25">
        <f t="shared" si="54"/>
        <v>0</v>
      </c>
      <c r="Q83" s="115">
        <f t="shared" si="54"/>
        <v>0</v>
      </c>
      <c r="R83" s="25">
        <f t="shared" si="54"/>
        <v>0</v>
      </c>
      <c r="S83" s="115">
        <f t="shared" si="54"/>
        <v>0</v>
      </c>
      <c r="T83" s="25">
        <f t="shared" si="54"/>
        <v>0</v>
      </c>
      <c r="U83" s="115">
        <f t="shared" si="54"/>
        <v>0</v>
      </c>
      <c r="V83" s="25">
        <f t="shared" si="54"/>
        <v>0</v>
      </c>
      <c r="W83" s="115">
        <f t="shared" si="54"/>
        <v>0</v>
      </c>
      <c r="X83" s="25">
        <f t="shared" si="54"/>
        <v>0</v>
      </c>
      <c r="Y83" s="115">
        <f t="shared" si="54"/>
        <v>0</v>
      </c>
      <c r="Z83" s="25">
        <f t="shared" si="54"/>
        <v>0</v>
      </c>
      <c r="AA83" s="115">
        <f t="shared" si="54"/>
        <v>0</v>
      </c>
      <c r="AB83" s="25">
        <f t="shared" si="54"/>
        <v>0</v>
      </c>
      <c r="AC83" s="115">
        <f t="shared" si="54"/>
        <v>0</v>
      </c>
      <c r="AD83" s="25">
        <f t="shared" si="54"/>
        <v>0</v>
      </c>
      <c r="AE83" s="115">
        <f t="shared" si="54"/>
        <v>0</v>
      </c>
      <c r="AF83" s="25">
        <f t="shared" si="54"/>
        <v>0</v>
      </c>
      <c r="AG83" s="115">
        <f t="shared" si="54"/>
        <v>0</v>
      </c>
      <c r="AH83" s="25">
        <f t="shared" si="54"/>
        <v>0</v>
      </c>
      <c r="AI83" s="115">
        <f t="shared" si="54"/>
        <v>0</v>
      </c>
      <c r="AJ83" s="25">
        <f t="shared" si="54"/>
        <v>0</v>
      </c>
      <c r="AK83" s="115">
        <f t="shared" si="54"/>
        <v>0</v>
      </c>
      <c r="AL83" s="25">
        <f t="shared" si="54"/>
        <v>0</v>
      </c>
      <c r="AM83" s="115">
        <f t="shared" si="54"/>
        <v>0</v>
      </c>
      <c r="AN83" s="25">
        <f t="shared" si="54"/>
        <v>0</v>
      </c>
      <c r="AO83" s="115">
        <f t="shared" si="54"/>
        <v>0</v>
      </c>
      <c r="AP83" s="25">
        <f t="shared" si="54"/>
        <v>0</v>
      </c>
      <c r="AQ83" s="115">
        <f t="shared" si="54"/>
        <v>0</v>
      </c>
      <c r="AS83" s="39">
        <f t="shared" ref="AS83:AS103" si="55">SUM(D83:AQ83)</f>
        <v>45491.14</v>
      </c>
    </row>
    <row r="84" spans="2:45" x14ac:dyDescent="0.2">
      <c r="B84" s="41">
        <f t="shared" si="53"/>
        <v>2</v>
      </c>
      <c r="C84" s="48" t="str">
        <f t="shared" si="53"/>
        <v>Talla ®</v>
      </c>
      <c r="D84" s="26">
        <f t="shared" ref="D84:AQ84" si="56">D6^2</f>
        <v>22650.25</v>
      </c>
      <c r="E84" s="117">
        <f t="shared" si="56"/>
        <v>22650.25</v>
      </c>
      <c r="F84" s="26">
        <f t="shared" si="56"/>
        <v>28392.25</v>
      </c>
      <c r="G84" s="117">
        <f t="shared" si="56"/>
        <v>28392.25</v>
      </c>
      <c r="H84" s="26">
        <f t="shared" si="56"/>
        <v>21756.25</v>
      </c>
      <c r="I84" s="117">
        <f t="shared" si="56"/>
        <v>21756.25</v>
      </c>
      <c r="J84" s="26">
        <f t="shared" si="56"/>
        <v>26732.25</v>
      </c>
      <c r="K84" s="117">
        <f t="shared" si="56"/>
        <v>26732.25</v>
      </c>
      <c r="L84" s="26">
        <f t="shared" si="56"/>
        <v>0</v>
      </c>
      <c r="M84" s="117">
        <f t="shared" si="56"/>
        <v>0</v>
      </c>
      <c r="N84" s="26">
        <f t="shared" si="56"/>
        <v>0</v>
      </c>
      <c r="O84" s="117">
        <f t="shared" si="56"/>
        <v>0</v>
      </c>
      <c r="P84" s="26">
        <f t="shared" si="56"/>
        <v>0</v>
      </c>
      <c r="Q84" s="117">
        <f t="shared" si="56"/>
        <v>0</v>
      </c>
      <c r="R84" s="26">
        <f t="shared" si="56"/>
        <v>0</v>
      </c>
      <c r="S84" s="117">
        <f t="shared" si="56"/>
        <v>0</v>
      </c>
      <c r="T84" s="26">
        <f t="shared" si="56"/>
        <v>0</v>
      </c>
      <c r="U84" s="117">
        <f t="shared" si="56"/>
        <v>0</v>
      </c>
      <c r="V84" s="26">
        <f t="shared" si="56"/>
        <v>0</v>
      </c>
      <c r="W84" s="117">
        <f t="shared" si="56"/>
        <v>0</v>
      </c>
      <c r="X84" s="26">
        <f t="shared" si="56"/>
        <v>0</v>
      </c>
      <c r="Y84" s="117">
        <f t="shared" si="56"/>
        <v>0</v>
      </c>
      <c r="Z84" s="26">
        <f t="shared" si="56"/>
        <v>0</v>
      </c>
      <c r="AA84" s="117">
        <f t="shared" si="56"/>
        <v>0</v>
      </c>
      <c r="AB84" s="26">
        <f t="shared" si="56"/>
        <v>0</v>
      </c>
      <c r="AC84" s="117">
        <f t="shared" si="56"/>
        <v>0</v>
      </c>
      <c r="AD84" s="26">
        <f t="shared" si="56"/>
        <v>0</v>
      </c>
      <c r="AE84" s="117">
        <f t="shared" si="56"/>
        <v>0</v>
      </c>
      <c r="AF84" s="26">
        <f t="shared" si="56"/>
        <v>0</v>
      </c>
      <c r="AG84" s="117">
        <f t="shared" si="56"/>
        <v>0</v>
      </c>
      <c r="AH84" s="26">
        <f t="shared" si="56"/>
        <v>0</v>
      </c>
      <c r="AI84" s="117">
        <f t="shared" si="56"/>
        <v>0</v>
      </c>
      <c r="AJ84" s="26">
        <f t="shared" si="56"/>
        <v>0</v>
      </c>
      <c r="AK84" s="117">
        <f t="shared" si="56"/>
        <v>0</v>
      </c>
      <c r="AL84" s="26">
        <f t="shared" si="56"/>
        <v>0</v>
      </c>
      <c r="AM84" s="117">
        <f t="shared" si="56"/>
        <v>0</v>
      </c>
      <c r="AN84" s="26">
        <f t="shared" si="56"/>
        <v>0</v>
      </c>
      <c r="AO84" s="117">
        <f t="shared" si="56"/>
        <v>0</v>
      </c>
      <c r="AP84" s="26">
        <f t="shared" si="56"/>
        <v>0</v>
      </c>
      <c r="AQ84" s="117">
        <f t="shared" si="56"/>
        <v>0</v>
      </c>
      <c r="AS84" s="43">
        <f t="shared" si="55"/>
        <v>199062</v>
      </c>
    </row>
    <row r="85" spans="2:45" x14ac:dyDescent="0.2">
      <c r="B85" s="41">
        <f t="shared" si="53"/>
        <v>3</v>
      </c>
      <c r="C85" s="48" t="str">
        <f t="shared" si="53"/>
        <v>Talla Sentado ®</v>
      </c>
      <c r="D85" s="26">
        <f t="shared" ref="D85:AQ85" si="57">D7^2</f>
        <v>6806.25</v>
      </c>
      <c r="E85" s="117">
        <f t="shared" si="57"/>
        <v>6806.25</v>
      </c>
      <c r="F85" s="26">
        <f t="shared" si="57"/>
        <v>7921</v>
      </c>
      <c r="G85" s="117">
        <f t="shared" si="57"/>
        <v>7921</v>
      </c>
      <c r="H85" s="26">
        <f t="shared" si="57"/>
        <v>6561</v>
      </c>
      <c r="I85" s="117">
        <f t="shared" si="57"/>
        <v>6561</v>
      </c>
      <c r="J85" s="26" t="e">
        <f t="shared" si="57"/>
        <v>#VALUE!</v>
      </c>
      <c r="K85" s="117" t="e">
        <f t="shared" si="57"/>
        <v>#VALUE!</v>
      </c>
      <c r="L85" s="26">
        <f t="shared" si="57"/>
        <v>0</v>
      </c>
      <c r="M85" s="117">
        <f t="shared" si="57"/>
        <v>0</v>
      </c>
      <c r="N85" s="26">
        <f t="shared" si="57"/>
        <v>0</v>
      </c>
      <c r="O85" s="117">
        <f t="shared" si="57"/>
        <v>0</v>
      </c>
      <c r="P85" s="26">
        <f t="shared" si="57"/>
        <v>0</v>
      </c>
      <c r="Q85" s="117">
        <f t="shared" si="57"/>
        <v>0</v>
      </c>
      <c r="R85" s="26">
        <f t="shared" si="57"/>
        <v>0</v>
      </c>
      <c r="S85" s="117">
        <f t="shared" si="57"/>
        <v>0</v>
      </c>
      <c r="T85" s="26">
        <f t="shared" si="57"/>
        <v>0</v>
      </c>
      <c r="U85" s="117">
        <f t="shared" si="57"/>
        <v>0</v>
      </c>
      <c r="V85" s="26">
        <f t="shared" si="57"/>
        <v>0</v>
      </c>
      <c r="W85" s="117">
        <f t="shared" si="57"/>
        <v>0</v>
      </c>
      <c r="X85" s="26">
        <f t="shared" si="57"/>
        <v>0</v>
      </c>
      <c r="Y85" s="117">
        <f t="shared" si="57"/>
        <v>0</v>
      </c>
      <c r="Z85" s="26">
        <f t="shared" si="57"/>
        <v>0</v>
      </c>
      <c r="AA85" s="117">
        <f t="shared" si="57"/>
        <v>0</v>
      </c>
      <c r="AB85" s="26">
        <f t="shared" si="57"/>
        <v>0</v>
      </c>
      <c r="AC85" s="117">
        <f t="shared" si="57"/>
        <v>0</v>
      </c>
      <c r="AD85" s="26">
        <f t="shared" si="57"/>
        <v>0</v>
      </c>
      <c r="AE85" s="117">
        <f t="shared" si="57"/>
        <v>0</v>
      </c>
      <c r="AF85" s="26">
        <f t="shared" si="57"/>
        <v>0</v>
      </c>
      <c r="AG85" s="117">
        <f t="shared" si="57"/>
        <v>0</v>
      </c>
      <c r="AH85" s="26">
        <f t="shared" si="57"/>
        <v>0</v>
      </c>
      <c r="AI85" s="117">
        <f t="shared" si="57"/>
        <v>0</v>
      </c>
      <c r="AJ85" s="26">
        <f t="shared" si="57"/>
        <v>0</v>
      </c>
      <c r="AK85" s="117">
        <f t="shared" si="57"/>
        <v>0</v>
      </c>
      <c r="AL85" s="26">
        <f t="shared" si="57"/>
        <v>0</v>
      </c>
      <c r="AM85" s="117">
        <f t="shared" si="57"/>
        <v>0</v>
      </c>
      <c r="AN85" s="26">
        <f t="shared" si="57"/>
        <v>0</v>
      </c>
      <c r="AO85" s="117">
        <f t="shared" si="57"/>
        <v>0</v>
      </c>
      <c r="AP85" s="26">
        <f t="shared" si="57"/>
        <v>0</v>
      </c>
      <c r="AQ85" s="117">
        <f t="shared" si="57"/>
        <v>0</v>
      </c>
      <c r="AS85" s="43" t="e">
        <f t="shared" si="55"/>
        <v>#VALUE!</v>
      </c>
    </row>
    <row r="86" spans="2:45" x14ac:dyDescent="0.2">
      <c r="B86" s="41">
        <f t="shared" si="53"/>
        <v>4</v>
      </c>
      <c r="C86" s="48" t="str">
        <f t="shared" si="53"/>
        <v>Envergadura de Brazos ®</v>
      </c>
      <c r="D86" s="26">
        <f t="shared" ref="D86:AQ86" si="58">D8^2</f>
        <v>23256.25</v>
      </c>
      <c r="E86" s="117">
        <f t="shared" si="58"/>
        <v>23256.25</v>
      </c>
      <c r="F86" s="26">
        <f t="shared" si="58"/>
        <v>30625</v>
      </c>
      <c r="G86" s="117">
        <f t="shared" si="58"/>
        <v>30625</v>
      </c>
      <c r="H86" s="26">
        <f t="shared" si="58"/>
        <v>22801</v>
      </c>
      <c r="I86" s="117">
        <f t="shared" si="58"/>
        <v>22801</v>
      </c>
      <c r="J86" s="26" t="e">
        <f t="shared" si="58"/>
        <v>#VALUE!</v>
      </c>
      <c r="K86" s="117" t="e">
        <f t="shared" si="58"/>
        <v>#VALUE!</v>
      </c>
      <c r="L86" s="26">
        <f t="shared" si="58"/>
        <v>0</v>
      </c>
      <c r="M86" s="117">
        <f t="shared" si="58"/>
        <v>0</v>
      </c>
      <c r="N86" s="26">
        <f t="shared" si="58"/>
        <v>0</v>
      </c>
      <c r="O86" s="117">
        <f t="shared" si="58"/>
        <v>0</v>
      </c>
      <c r="P86" s="26">
        <f t="shared" si="58"/>
        <v>0</v>
      </c>
      <c r="Q86" s="117">
        <f t="shared" si="58"/>
        <v>0</v>
      </c>
      <c r="R86" s="26">
        <f t="shared" si="58"/>
        <v>0</v>
      </c>
      <c r="S86" s="117">
        <f t="shared" si="58"/>
        <v>0</v>
      </c>
      <c r="T86" s="26">
        <f t="shared" si="58"/>
        <v>0</v>
      </c>
      <c r="U86" s="117">
        <f t="shared" si="58"/>
        <v>0</v>
      </c>
      <c r="V86" s="26">
        <f t="shared" si="58"/>
        <v>0</v>
      </c>
      <c r="W86" s="117">
        <f t="shared" si="58"/>
        <v>0</v>
      </c>
      <c r="X86" s="26">
        <f t="shared" si="58"/>
        <v>0</v>
      </c>
      <c r="Y86" s="117">
        <f t="shared" si="58"/>
        <v>0</v>
      </c>
      <c r="Z86" s="26">
        <f t="shared" si="58"/>
        <v>0</v>
      </c>
      <c r="AA86" s="117">
        <f t="shared" si="58"/>
        <v>0</v>
      </c>
      <c r="AB86" s="26">
        <f t="shared" si="58"/>
        <v>0</v>
      </c>
      <c r="AC86" s="117">
        <f t="shared" si="58"/>
        <v>0</v>
      </c>
      <c r="AD86" s="26">
        <f t="shared" si="58"/>
        <v>0</v>
      </c>
      <c r="AE86" s="117">
        <f t="shared" si="58"/>
        <v>0</v>
      </c>
      <c r="AF86" s="26">
        <f t="shared" si="58"/>
        <v>0</v>
      </c>
      <c r="AG86" s="117">
        <f t="shared" si="58"/>
        <v>0</v>
      </c>
      <c r="AH86" s="26">
        <f t="shared" si="58"/>
        <v>0</v>
      </c>
      <c r="AI86" s="117">
        <f t="shared" si="58"/>
        <v>0</v>
      </c>
      <c r="AJ86" s="26">
        <f t="shared" si="58"/>
        <v>0</v>
      </c>
      <c r="AK86" s="117">
        <f t="shared" si="58"/>
        <v>0</v>
      </c>
      <c r="AL86" s="26">
        <f t="shared" si="58"/>
        <v>0</v>
      </c>
      <c r="AM86" s="117">
        <f t="shared" si="58"/>
        <v>0</v>
      </c>
      <c r="AN86" s="26">
        <f t="shared" si="58"/>
        <v>0</v>
      </c>
      <c r="AO86" s="117">
        <f t="shared" si="58"/>
        <v>0</v>
      </c>
      <c r="AP86" s="26">
        <f t="shared" si="58"/>
        <v>0</v>
      </c>
      <c r="AQ86" s="117">
        <f t="shared" si="58"/>
        <v>0</v>
      </c>
      <c r="AS86" s="43" t="e">
        <f t="shared" si="55"/>
        <v>#VALUE!</v>
      </c>
    </row>
    <row r="87" spans="2:45" x14ac:dyDescent="0.2">
      <c r="B87" s="41">
        <f t="shared" si="53"/>
        <v>5</v>
      </c>
      <c r="C87" s="48" t="str">
        <f t="shared" si="53"/>
        <v>PL Tríceps ®</v>
      </c>
      <c r="D87" s="26">
        <f t="shared" ref="D87:AQ87" si="59">D9^2</f>
        <v>324</v>
      </c>
      <c r="E87" s="117">
        <f t="shared" si="59"/>
        <v>289</v>
      </c>
      <c r="F87" s="26">
        <f t="shared" si="59"/>
        <v>1681</v>
      </c>
      <c r="G87" s="117">
        <f t="shared" si="59"/>
        <v>1600</v>
      </c>
      <c r="H87" s="26">
        <f t="shared" si="59"/>
        <v>729</v>
      </c>
      <c r="I87" s="117">
        <f t="shared" si="59"/>
        <v>676</v>
      </c>
      <c r="J87" s="26">
        <f t="shared" si="59"/>
        <v>961</v>
      </c>
      <c r="K87" s="117">
        <f t="shared" si="59"/>
        <v>961</v>
      </c>
      <c r="L87" s="26">
        <f t="shared" si="59"/>
        <v>0</v>
      </c>
      <c r="M87" s="117">
        <f t="shared" si="59"/>
        <v>0</v>
      </c>
      <c r="N87" s="26">
        <f t="shared" si="59"/>
        <v>0</v>
      </c>
      <c r="O87" s="117">
        <f t="shared" si="59"/>
        <v>0</v>
      </c>
      <c r="P87" s="26">
        <f t="shared" si="59"/>
        <v>0</v>
      </c>
      <c r="Q87" s="117">
        <f t="shared" si="59"/>
        <v>0</v>
      </c>
      <c r="R87" s="26">
        <f t="shared" si="59"/>
        <v>0</v>
      </c>
      <c r="S87" s="117">
        <f t="shared" si="59"/>
        <v>0</v>
      </c>
      <c r="T87" s="26">
        <f t="shared" si="59"/>
        <v>0</v>
      </c>
      <c r="U87" s="117">
        <f t="shared" si="59"/>
        <v>0</v>
      </c>
      <c r="V87" s="26">
        <f t="shared" si="59"/>
        <v>0</v>
      </c>
      <c r="W87" s="117">
        <f t="shared" si="59"/>
        <v>0</v>
      </c>
      <c r="X87" s="26">
        <f t="shared" si="59"/>
        <v>0</v>
      </c>
      <c r="Y87" s="117">
        <f t="shared" si="59"/>
        <v>0</v>
      </c>
      <c r="Z87" s="26">
        <f t="shared" si="59"/>
        <v>0</v>
      </c>
      <c r="AA87" s="117">
        <f t="shared" si="59"/>
        <v>0</v>
      </c>
      <c r="AB87" s="26">
        <f t="shared" si="59"/>
        <v>0</v>
      </c>
      <c r="AC87" s="117">
        <f t="shared" si="59"/>
        <v>0</v>
      </c>
      <c r="AD87" s="26">
        <f t="shared" si="59"/>
        <v>0</v>
      </c>
      <c r="AE87" s="117">
        <f t="shared" si="59"/>
        <v>0</v>
      </c>
      <c r="AF87" s="26">
        <f t="shared" si="59"/>
        <v>0</v>
      </c>
      <c r="AG87" s="117">
        <f t="shared" si="59"/>
        <v>0</v>
      </c>
      <c r="AH87" s="26">
        <f t="shared" si="59"/>
        <v>0</v>
      </c>
      <c r="AI87" s="117">
        <f t="shared" si="59"/>
        <v>0</v>
      </c>
      <c r="AJ87" s="26">
        <f t="shared" si="59"/>
        <v>0</v>
      </c>
      <c r="AK87" s="117">
        <f t="shared" si="59"/>
        <v>0</v>
      </c>
      <c r="AL87" s="26">
        <f t="shared" si="59"/>
        <v>0</v>
      </c>
      <c r="AM87" s="117">
        <f t="shared" si="59"/>
        <v>0</v>
      </c>
      <c r="AN87" s="26">
        <f t="shared" si="59"/>
        <v>0</v>
      </c>
      <c r="AO87" s="117">
        <f t="shared" si="59"/>
        <v>0</v>
      </c>
      <c r="AP87" s="26">
        <f t="shared" si="59"/>
        <v>0</v>
      </c>
      <c r="AQ87" s="117">
        <f t="shared" si="59"/>
        <v>0</v>
      </c>
      <c r="AS87" s="43">
        <f t="shared" si="55"/>
        <v>7221</v>
      </c>
    </row>
    <row r="88" spans="2:45" x14ac:dyDescent="0.2">
      <c r="B88" s="41">
        <f t="shared" si="53"/>
        <v>6</v>
      </c>
      <c r="C88" s="48" t="str">
        <f t="shared" si="53"/>
        <v>PL Subescapular ®</v>
      </c>
      <c r="D88" s="26">
        <f t="shared" ref="D88:AQ88" si="60">D10^2</f>
        <v>196</v>
      </c>
      <c r="E88" s="117">
        <f t="shared" si="60"/>
        <v>289</v>
      </c>
      <c r="F88" s="26">
        <f t="shared" si="60"/>
        <v>4624</v>
      </c>
      <c r="G88" s="117">
        <f t="shared" si="60"/>
        <v>4900</v>
      </c>
      <c r="H88" s="26">
        <f t="shared" si="60"/>
        <v>529</v>
      </c>
      <c r="I88" s="117">
        <f t="shared" si="60"/>
        <v>529</v>
      </c>
      <c r="J88" s="26">
        <f t="shared" si="60"/>
        <v>441</v>
      </c>
      <c r="K88" s="117">
        <f t="shared" si="60"/>
        <v>441</v>
      </c>
      <c r="L88" s="26">
        <f t="shared" si="60"/>
        <v>0</v>
      </c>
      <c r="M88" s="117">
        <f t="shared" si="60"/>
        <v>0</v>
      </c>
      <c r="N88" s="26">
        <f t="shared" si="60"/>
        <v>0</v>
      </c>
      <c r="O88" s="117">
        <f t="shared" si="60"/>
        <v>0</v>
      </c>
      <c r="P88" s="26">
        <f t="shared" si="60"/>
        <v>0</v>
      </c>
      <c r="Q88" s="117">
        <f t="shared" si="60"/>
        <v>0</v>
      </c>
      <c r="R88" s="26">
        <f t="shared" si="60"/>
        <v>0</v>
      </c>
      <c r="S88" s="117">
        <f t="shared" si="60"/>
        <v>0</v>
      </c>
      <c r="T88" s="26">
        <f t="shared" si="60"/>
        <v>0</v>
      </c>
      <c r="U88" s="117">
        <f t="shared" si="60"/>
        <v>0</v>
      </c>
      <c r="V88" s="26">
        <f t="shared" si="60"/>
        <v>0</v>
      </c>
      <c r="W88" s="117">
        <f t="shared" si="60"/>
        <v>0</v>
      </c>
      <c r="X88" s="26">
        <f t="shared" si="60"/>
        <v>0</v>
      </c>
      <c r="Y88" s="117">
        <f t="shared" si="60"/>
        <v>0</v>
      </c>
      <c r="Z88" s="26">
        <f t="shared" si="60"/>
        <v>0</v>
      </c>
      <c r="AA88" s="117">
        <f t="shared" si="60"/>
        <v>0</v>
      </c>
      <c r="AB88" s="26">
        <f t="shared" si="60"/>
        <v>0</v>
      </c>
      <c r="AC88" s="117">
        <f t="shared" si="60"/>
        <v>0</v>
      </c>
      <c r="AD88" s="26">
        <f t="shared" si="60"/>
        <v>0</v>
      </c>
      <c r="AE88" s="117">
        <f t="shared" si="60"/>
        <v>0</v>
      </c>
      <c r="AF88" s="26">
        <f t="shared" si="60"/>
        <v>0</v>
      </c>
      <c r="AG88" s="117">
        <f t="shared" si="60"/>
        <v>0</v>
      </c>
      <c r="AH88" s="26">
        <f t="shared" si="60"/>
        <v>0</v>
      </c>
      <c r="AI88" s="117">
        <f t="shared" si="60"/>
        <v>0</v>
      </c>
      <c r="AJ88" s="26">
        <f t="shared" si="60"/>
        <v>0</v>
      </c>
      <c r="AK88" s="117">
        <f t="shared" si="60"/>
        <v>0</v>
      </c>
      <c r="AL88" s="26">
        <f t="shared" si="60"/>
        <v>0</v>
      </c>
      <c r="AM88" s="117">
        <f t="shared" si="60"/>
        <v>0</v>
      </c>
      <c r="AN88" s="26">
        <f t="shared" si="60"/>
        <v>0</v>
      </c>
      <c r="AO88" s="117">
        <f t="shared" si="60"/>
        <v>0</v>
      </c>
      <c r="AP88" s="26">
        <f t="shared" si="60"/>
        <v>0</v>
      </c>
      <c r="AQ88" s="117">
        <f t="shared" si="60"/>
        <v>0</v>
      </c>
      <c r="AS88" s="43">
        <f t="shared" si="55"/>
        <v>11949</v>
      </c>
    </row>
    <row r="89" spans="2:45" x14ac:dyDescent="0.2">
      <c r="B89" s="41">
        <f t="shared" si="53"/>
        <v>7</v>
      </c>
      <c r="C89" s="48" t="str">
        <f t="shared" si="53"/>
        <v>PL Bíceps ®</v>
      </c>
      <c r="D89" s="26">
        <f t="shared" ref="D89:AQ89" si="61">D11^2</f>
        <v>196</v>
      </c>
      <c r="E89" s="117">
        <f t="shared" si="61"/>
        <v>196</v>
      </c>
      <c r="F89" s="26">
        <f t="shared" si="61"/>
        <v>361</v>
      </c>
      <c r="G89" s="117">
        <f t="shared" si="61"/>
        <v>441</v>
      </c>
      <c r="H89" s="26">
        <f t="shared" si="61"/>
        <v>36</v>
      </c>
      <c r="I89" s="117">
        <f t="shared" si="61"/>
        <v>36</v>
      </c>
      <c r="J89" s="26">
        <f t="shared" si="61"/>
        <v>225</v>
      </c>
      <c r="K89" s="117">
        <f t="shared" si="61"/>
        <v>225</v>
      </c>
      <c r="L89" s="26">
        <f t="shared" si="61"/>
        <v>0</v>
      </c>
      <c r="M89" s="117">
        <f t="shared" si="61"/>
        <v>0</v>
      </c>
      <c r="N89" s="26">
        <f t="shared" si="61"/>
        <v>0</v>
      </c>
      <c r="O89" s="117">
        <f t="shared" si="61"/>
        <v>0</v>
      </c>
      <c r="P89" s="26">
        <f t="shared" si="61"/>
        <v>0</v>
      </c>
      <c r="Q89" s="117">
        <f t="shared" si="61"/>
        <v>0</v>
      </c>
      <c r="R89" s="26">
        <f t="shared" si="61"/>
        <v>0</v>
      </c>
      <c r="S89" s="117">
        <f t="shared" si="61"/>
        <v>0</v>
      </c>
      <c r="T89" s="26">
        <f t="shared" si="61"/>
        <v>0</v>
      </c>
      <c r="U89" s="117">
        <f t="shared" si="61"/>
        <v>0</v>
      </c>
      <c r="V89" s="26">
        <f t="shared" si="61"/>
        <v>0</v>
      </c>
      <c r="W89" s="117">
        <f t="shared" si="61"/>
        <v>0</v>
      </c>
      <c r="X89" s="26">
        <f t="shared" si="61"/>
        <v>0</v>
      </c>
      <c r="Y89" s="117">
        <f t="shared" si="61"/>
        <v>0</v>
      </c>
      <c r="Z89" s="26">
        <f t="shared" si="61"/>
        <v>0</v>
      </c>
      <c r="AA89" s="117">
        <f t="shared" si="61"/>
        <v>0</v>
      </c>
      <c r="AB89" s="26">
        <f t="shared" si="61"/>
        <v>0</v>
      </c>
      <c r="AC89" s="117">
        <f t="shared" si="61"/>
        <v>0</v>
      </c>
      <c r="AD89" s="26">
        <f t="shared" si="61"/>
        <v>0</v>
      </c>
      <c r="AE89" s="117">
        <f t="shared" si="61"/>
        <v>0</v>
      </c>
      <c r="AF89" s="26">
        <f t="shared" si="61"/>
        <v>0</v>
      </c>
      <c r="AG89" s="117">
        <f t="shared" si="61"/>
        <v>0</v>
      </c>
      <c r="AH89" s="26">
        <f t="shared" si="61"/>
        <v>0</v>
      </c>
      <c r="AI89" s="117">
        <f t="shared" si="61"/>
        <v>0</v>
      </c>
      <c r="AJ89" s="26">
        <f t="shared" si="61"/>
        <v>0</v>
      </c>
      <c r="AK89" s="117">
        <f t="shared" si="61"/>
        <v>0</v>
      </c>
      <c r="AL89" s="26">
        <f t="shared" si="61"/>
        <v>0</v>
      </c>
      <c r="AM89" s="117">
        <f t="shared" si="61"/>
        <v>0</v>
      </c>
      <c r="AN89" s="26">
        <f t="shared" si="61"/>
        <v>0</v>
      </c>
      <c r="AO89" s="117">
        <f t="shared" si="61"/>
        <v>0</v>
      </c>
      <c r="AP89" s="26">
        <f t="shared" si="61"/>
        <v>0</v>
      </c>
      <c r="AQ89" s="117">
        <f t="shared" si="61"/>
        <v>0</v>
      </c>
      <c r="AS89" s="43">
        <f t="shared" si="55"/>
        <v>1716</v>
      </c>
    </row>
    <row r="90" spans="2:45" x14ac:dyDescent="0.2">
      <c r="B90" s="41">
        <f t="shared" si="53"/>
        <v>8</v>
      </c>
      <c r="C90" s="48" t="str">
        <f t="shared" si="53"/>
        <v>PL Cresta Ilíaca ®</v>
      </c>
      <c r="D90" s="26">
        <f t="shared" ref="D90:AQ90" si="62">D12^2</f>
        <v>196</v>
      </c>
      <c r="E90" s="117">
        <f t="shared" si="62"/>
        <v>225</v>
      </c>
      <c r="F90" s="26">
        <f t="shared" si="62"/>
        <v>2500</v>
      </c>
      <c r="G90" s="117">
        <f t="shared" si="62"/>
        <v>2500</v>
      </c>
      <c r="H90" s="26">
        <f t="shared" si="62"/>
        <v>324</v>
      </c>
      <c r="I90" s="117">
        <f t="shared" si="62"/>
        <v>324</v>
      </c>
      <c r="J90" s="26">
        <f t="shared" si="62"/>
        <v>400</v>
      </c>
      <c r="K90" s="117">
        <f t="shared" si="62"/>
        <v>441</v>
      </c>
      <c r="L90" s="26">
        <f t="shared" si="62"/>
        <v>0</v>
      </c>
      <c r="M90" s="117">
        <f t="shared" si="62"/>
        <v>0</v>
      </c>
      <c r="N90" s="26">
        <f t="shared" si="62"/>
        <v>0</v>
      </c>
      <c r="O90" s="117">
        <f t="shared" si="62"/>
        <v>0</v>
      </c>
      <c r="P90" s="26">
        <f t="shared" si="62"/>
        <v>0</v>
      </c>
      <c r="Q90" s="117">
        <f t="shared" si="62"/>
        <v>0</v>
      </c>
      <c r="R90" s="26">
        <f t="shared" si="62"/>
        <v>0</v>
      </c>
      <c r="S90" s="117">
        <f t="shared" si="62"/>
        <v>0</v>
      </c>
      <c r="T90" s="26">
        <f t="shared" si="62"/>
        <v>0</v>
      </c>
      <c r="U90" s="117">
        <f t="shared" si="62"/>
        <v>0</v>
      </c>
      <c r="V90" s="26">
        <f t="shared" si="62"/>
        <v>0</v>
      </c>
      <c r="W90" s="117">
        <f t="shared" si="62"/>
        <v>0</v>
      </c>
      <c r="X90" s="26">
        <f t="shared" si="62"/>
        <v>0</v>
      </c>
      <c r="Y90" s="117">
        <f t="shared" si="62"/>
        <v>0</v>
      </c>
      <c r="Z90" s="26">
        <f t="shared" si="62"/>
        <v>0</v>
      </c>
      <c r="AA90" s="117">
        <f t="shared" si="62"/>
        <v>0</v>
      </c>
      <c r="AB90" s="26">
        <f t="shared" si="62"/>
        <v>0</v>
      </c>
      <c r="AC90" s="117">
        <f t="shared" si="62"/>
        <v>0</v>
      </c>
      <c r="AD90" s="26">
        <f t="shared" si="62"/>
        <v>0</v>
      </c>
      <c r="AE90" s="117">
        <f t="shared" si="62"/>
        <v>0</v>
      </c>
      <c r="AF90" s="26">
        <f t="shared" si="62"/>
        <v>0</v>
      </c>
      <c r="AG90" s="117">
        <f t="shared" si="62"/>
        <v>0</v>
      </c>
      <c r="AH90" s="26">
        <f t="shared" si="62"/>
        <v>0</v>
      </c>
      <c r="AI90" s="117">
        <f t="shared" si="62"/>
        <v>0</v>
      </c>
      <c r="AJ90" s="26">
        <f t="shared" si="62"/>
        <v>0</v>
      </c>
      <c r="AK90" s="117">
        <f t="shared" si="62"/>
        <v>0</v>
      </c>
      <c r="AL90" s="26">
        <f t="shared" si="62"/>
        <v>0</v>
      </c>
      <c r="AM90" s="117">
        <f t="shared" si="62"/>
        <v>0</v>
      </c>
      <c r="AN90" s="26">
        <f t="shared" si="62"/>
        <v>0</v>
      </c>
      <c r="AO90" s="117">
        <f t="shared" si="62"/>
        <v>0</v>
      </c>
      <c r="AP90" s="26">
        <f t="shared" si="62"/>
        <v>0</v>
      </c>
      <c r="AQ90" s="117">
        <f t="shared" si="62"/>
        <v>0</v>
      </c>
      <c r="AS90" s="43">
        <f t="shared" si="55"/>
        <v>6910</v>
      </c>
    </row>
    <row r="91" spans="2:45" x14ac:dyDescent="0.2">
      <c r="B91" s="41">
        <f t="shared" si="53"/>
        <v>9</v>
      </c>
      <c r="C91" s="48" t="str">
        <f t="shared" si="53"/>
        <v>PL Supraespinal ®</v>
      </c>
      <c r="D91" s="26">
        <f t="shared" ref="D91:AQ91" si="63">D13^2</f>
        <v>121</v>
      </c>
      <c r="E91" s="117">
        <f t="shared" si="63"/>
        <v>100</v>
      </c>
      <c r="F91" s="26">
        <f t="shared" si="63"/>
        <v>2304</v>
      </c>
      <c r="G91" s="117">
        <f t="shared" si="63"/>
        <v>2500</v>
      </c>
      <c r="H91" s="26">
        <f t="shared" si="63"/>
        <v>256</v>
      </c>
      <c r="I91" s="117">
        <f t="shared" si="63"/>
        <v>169</v>
      </c>
      <c r="J91" s="26">
        <f t="shared" si="63"/>
        <v>676</v>
      </c>
      <c r="K91" s="117">
        <f t="shared" si="63"/>
        <v>625</v>
      </c>
      <c r="L91" s="26">
        <f t="shared" si="63"/>
        <v>0</v>
      </c>
      <c r="M91" s="117">
        <f t="shared" si="63"/>
        <v>0</v>
      </c>
      <c r="N91" s="26">
        <f t="shared" si="63"/>
        <v>0</v>
      </c>
      <c r="O91" s="117">
        <f t="shared" si="63"/>
        <v>0</v>
      </c>
      <c r="P91" s="26">
        <f t="shared" si="63"/>
        <v>0</v>
      </c>
      <c r="Q91" s="117">
        <f t="shared" si="63"/>
        <v>0</v>
      </c>
      <c r="R91" s="26">
        <f t="shared" si="63"/>
        <v>0</v>
      </c>
      <c r="S91" s="117">
        <f t="shared" si="63"/>
        <v>0</v>
      </c>
      <c r="T91" s="26">
        <f t="shared" si="63"/>
        <v>0</v>
      </c>
      <c r="U91" s="117">
        <f t="shared" si="63"/>
        <v>0</v>
      </c>
      <c r="V91" s="26">
        <f t="shared" si="63"/>
        <v>0</v>
      </c>
      <c r="W91" s="117">
        <f t="shared" si="63"/>
        <v>0</v>
      </c>
      <c r="X91" s="26">
        <f t="shared" si="63"/>
        <v>0</v>
      </c>
      <c r="Y91" s="117">
        <f t="shared" si="63"/>
        <v>0</v>
      </c>
      <c r="Z91" s="26">
        <f t="shared" si="63"/>
        <v>0</v>
      </c>
      <c r="AA91" s="117">
        <f t="shared" si="63"/>
        <v>0</v>
      </c>
      <c r="AB91" s="26">
        <f t="shared" si="63"/>
        <v>0</v>
      </c>
      <c r="AC91" s="117">
        <f t="shared" si="63"/>
        <v>0</v>
      </c>
      <c r="AD91" s="26">
        <f t="shared" si="63"/>
        <v>0</v>
      </c>
      <c r="AE91" s="117">
        <f t="shared" si="63"/>
        <v>0</v>
      </c>
      <c r="AF91" s="26">
        <f t="shared" si="63"/>
        <v>0</v>
      </c>
      <c r="AG91" s="117">
        <f t="shared" si="63"/>
        <v>0</v>
      </c>
      <c r="AH91" s="26">
        <f t="shared" si="63"/>
        <v>0</v>
      </c>
      <c r="AI91" s="117">
        <f t="shared" si="63"/>
        <v>0</v>
      </c>
      <c r="AJ91" s="26">
        <f t="shared" si="63"/>
        <v>0</v>
      </c>
      <c r="AK91" s="117">
        <f t="shared" si="63"/>
        <v>0</v>
      </c>
      <c r="AL91" s="26">
        <f t="shared" si="63"/>
        <v>0</v>
      </c>
      <c r="AM91" s="117">
        <f t="shared" si="63"/>
        <v>0</v>
      </c>
      <c r="AN91" s="26">
        <f t="shared" si="63"/>
        <v>0</v>
      </c>
      <c r="AO91" s="117">
        <f t="shared" si="63"/>
        <v>0</v>
      </c>
      <c r="AP91" s="26">
        <f t="shared" si="63"/>
        <v>0</v>
      </c>
      <c r="AQ91" s="117">
        <f t="shared" si="63"/>
        <v>0</v>
      </c>
      <c r="AS91" s="43">
        <f t="shared" si="55"/>
        <v>6751</v>
      </c>
    </row>
    <row r="92" spans="2:45" x14ac:dyDescent="0.2">
      <c r="B92" s="41">
        <f t="shared" si="53"/>
        <v>10</v>
      </c>
      <c r="C92" s="48" t="str">
        <f t="shared" si="53"/>
        <v>PL Abdominal ®</v>
      </c>
      <c r="D92" s="26">
        <f t="shared" ref="D92:AQ92" si="64">D14^2</f>
        <v>144</v>
      </c>
      <c r="E92" s="117">
        <f t="shared" si="64"/>
        <v>144</v>
      </c>
      <c r="F92" s="26">
        <f t="shared" si="64"/>
        <v>6400</v>
      </c>
      <c r="G92" s="117">
        <f t="shared" si="64"/>
        <v>6400</v>
      </c>
      <c r="H92" s="26">
        <f t="shared" si="64"/>
        <v>576</v>
      </c>
      <c r="I92" s="117">
        <f t="shared" si="64"/>
        <v>576</v>
      </c>
      <c r="J92" s="26">
        <f t="shared" si="64"/>
        <v>841</v>
      </c>
      <c r="K92" s="117">
        <f t="shared" si="64"/>
        <v>841</v>
      </c>
      <c r="L92" s="26">
        <f t="shared" si="64"/>
        <v>0</v>
      </c>
      <c r="M92" s="117">
        <f t="shared" si="64"/>
        <v>0</v>
      </c>
      <c r="N92" s="26">
        <f t="shared" si="64"/>
        <v>0</v>
      </c>
      <c r="O92" s="117">
        <f t="shared" si="64"/>
        <v>0</v>
      </c>
      <c r="P92" s="26">
        <f t="shared" si="64"/>
        <v>0</v>
      </c>
      <c r="Q92" s="117">
        <f t="shared" si="64"/>
        <v>0</v>
      </c>
      <c r="R92" s="26">
        <f t="shared" si="64"/>
        <v>0</v>
      </c>
      <c r="S92" s="117">
        <f t="shared" si="64"/>
        <v>0</v>
      </c>
      <c r="T92" s="26">
        <f t="shared" si="64"/>
        <v>0</v>
      </c>
      <c r="U92" s="117">
        <f t="shared" si="64"/>
        <v>0</v>
      </c>
      <c r="V92" s="26">
        <f t="shared" si="64"/>
        <v>0</v>
      </c>
      <c r="W92" s="117">
        <f t="shared" si="64"/>
        <v>0</v>
      </c>
      <c r="X92" s="26">
        <f t="shared" si="64"/>
        <v>0</v>
      </c>
      <c r="Y92" s="117">
        <f t="shared" si="64"/>
        <v>0</v>
      </c>
      <c r="Z92" s="26">
        <f t="shared" si="64"/>
        <v>0</v>
      </c>
      <c r="AA92" s="117">
        <f t="shared" si="64"/>
        <v>0</v>
      </c>
      <c r="AB92" s="26">
        <f t="shared" si="64"/>
        <v>0</v>
      </c>
      <c r="AC92" s="117">
        <f t="shared" si="64"/>
        <v>0</v>
      </c>
      <c r="AD92" s="26">
        <f t="shared" si="64"/>
        <v>0</v>
      </c>
      <c r="AE92" s="117">
        <f t="shared" si="64"/>
        <v>0</v>
      </c>
      <c r="AF92" s="26">
        <f t="shared" si="64"/>
        <v>0</v>
      </c>
      <c r="AG92" s="117">
        <f t="shared" si="64"/>
        <v>0</v>
      </c>
      <c r="AH92" s="26">
        <f t="shared" si="64"/>
        <v>0</v>
      </c>
      <c r="AI92" s="117">
        <f t="shared" si="64"/>
        <v>0</v>
      </c>
      <c r="AJ92" s="26">
        <f t="shared" si="64"/>
        <v>0</v>
      </c>
      <c r="AK92" s="117">
        <f t="shared" si="64"/>
        <v>0</v>
      </c>
      <c r="AL92" s="26">
        <f t="shared" si="64"/>
        <v>0</v>
      </c>
      <c r="AM92" s="117">
        <f t="shared" si="64"/>
        <v>0</v>
      </c>
      <c r="AN92" s="26">
        <f t="shared" si="64"/>
        <v>0</v>
      </c>
      <c r="AO92" s="117">
        <f t="shared" si="64"/>
        <v>0</v>
      </c>
      <c r="AP92" s="26">
        <f t="shared" si="64"/>
        <v>0</v>
      </c>
      <c r="AQ92" s="117">
        <f t="shared" si="64"/>
        <v>0</v>
      </c>
      <c r="AS92" s="43">
        <f t="shared" si="55"/>
        <v>15922</v>
      </c>
    </row>
    <row r="93" spans="2:45" x14ac:dyDescent="0.2">
      <c r="B93" s="41">
        <f t="shared" si="53"/>
        <v>11</v>
      </c>
      <c r="C93" s="48" t="str">
        <f t="shared" si="53"/>
        <v>PL Muslo ®</v>
      </c>
      <c r="D93" s="26">
        <f t="shared" ref="D93:AQ93" si="65">D15^2</f>
        <v>961</v>
      </c>
      <c r="E93" s="117">
        <f t="shared" si="65"/>
        <v>900</v>
      </c>
      <c r="F93" s="26">
        <f t="shared" si="65"/>
        <v>5625</v>
      </c>
      <c r="G93" s="117">
        <f t="shared" si="65"/>
        <v>5184</v>
      </c>
      <c r="H93" s="26">
        <f t="shared" si="65"/>
        <v>1024</v>
      </c>
      <c r="I93" s="117">
        <f t="shared" si="65"/>
        <v>961</v>
      </c>
      <c r="J93" s="26">
        <f t="shared" si="65"/>
        <v>576</v>
      </c>
      <c r="K93" s="117">
        <f t="shared" si="65"/>
        <v>529</v>
      </c>
      <c r="L93" s="26">
        <f t="shared" si="65"/>
        <v>0</v>
      </c>
      <c r="M93" s="117">
        <f t="shared" si="65"/>
        <v>0</v>
      </c>
      <c r="N93" s="26">
        <f t="shared" si="65"/>
        <v>0</v>
      </c>
      <c r="O93" s="117">
        <f t="shared" si="65"/>
        <v>0</v>
      </c>
      <c r="P93" s="26">
        <f t="shared" si="65"/>
        <v>0</v>
      </c>
      <c r="Q93" s="117">
        <f t="shared" si="65"/>
        <v>0</v>
      </c>
      <c r="R93" s="26">
        <f t="shared" si="65"/>
        <v>0</v>
      </c>
      <c r="S93" s="117">
        <f t="shared" si="65"/>
        <v>0</v>
      </c>
      <c r="T93" s="26">
        <f t="shared" si="65"/>
        <v>0</v>
      </c>
      <c r="U93" s="117">
        <f t="shared" si="65"/>
        <v>0</v>
      </c>
      <c r="V93" s="26">
        <f t="shared" si="65"/>
        <v>0</v>
      </c>
      <c r="W93" s="117">
        <f t="shared" si="65"/>
        <v>0</v>
      </c>
      <c r="X93" s="26">
        <f t="shared" si="65"/>
        <v>0</v>
      </c>
      <c r="Y93" s="117">
        <f t="shared" si="65"/>
        <v>0</v>
      </c>
      <c r="Z93" s="26">
        <f t="shared" si="65"/>
        <v>0</v>
      </c>
      <c r="AA93" s="117">
        <f t="shared" si="65"/>
        <v>0</v>
      </c>
      <c r="AB93" s="26">
        <f t="shared" si="65"/>
        <v>0</v>
      </c>
      <c r="AC93" s="117">
        <f t="shared" si="65"/>
        <v>0</v>
      </c>
      <c r="AD93" s="26">
        <f t="shared" si="65"/>
        <v>0</v>
      </c>
      <c r="AE93" s="117">
        <f t="shared" si="65"/>
        <v>0</v>
      </c>
      <c r="AF93" s="26">
        <f t="shared" si="65"/>
        <v>0</v>
      </c>
      <c r="AG93" s="117">
        <f t="shared" si="65"/>
        <v>0</v>
      </c>
      <c r="AH93" s="26">
        <f t="shared" si="65"/>
        <v>0</v>
      </c>
      <c r="AI93" s="117">
        <f t="shared" si="65"/>
        <v>0</v>
      </c>
      <c r="AJ93" s="26">
        <f t="shared" si="65"/>
        <v>0</v>
      </c>
      <c r="AK93" s="117">
        <f t="shared" si="65"/>
        <v>0</v>
      </c>
      <c r="AL93" s="26">
        <f t="shared" si="65"/>
        <v>0</v>
      </c>
      <c r="AM93" s="117">
        <f t="shared" si="65"/>
        <v>0</v>
      </c>
      <c r="AN93" s="26">
        <f t="shared" si="65"/>
        <v>0</v>
      </c>
      <c r="AO93" s="117">
        <f t="shared" si="65"/>
        <v>0</v>
      </c>
      <c r="AP93" s="26">
        <f t="shared" si="65"/>
        <v>0</v>
      </c>
      <c r="AQ93" s="117">
        <f t="shared" si="65"/>
        <v>0</v>
      </c>
      <c r="AS93" s="43">
        <f t="shared" si="55"/>
        <v>15760</v>
      </c>
    </row>
    <row r="94" spans="2:45" x14ac:dyDescent="0.2">
      <c r="B94" s="41">
        <f t="shared" si="53"/>
        <v>12</v>
      </c>
      <c r="C94" s="48" t="str">
        <f t="shared" si="53"/>
        <v>PL Pierna ®</v>
      </c>
      <c r="D94" s="26">
        <f t="shared" ref="D94:AQ94" si="66">D16^2</f>
        <v>144</v>
      </c>
      <c r="E94" s="117">
        <f t="shared" si="66"/>
        <v>144</v>
      </c>
      <c r="F94" s="26">
        <f t="shared" si="66"/>
        <v>3025</v>
      </c>
      <c r="G94" s="117">
        <f t="shared" si="66"/>
        <v>3025</v>
      </c>
      <c r="H94" s="26">
        <f t="shared" si="66"/>
        <v>841</v>
      </c>
      <c r="I94" s="117">
        <f t="shared" si="66"/>
        <v>625</v>
      </c>
      <c r="J94" s="26">
        <f t="shared" si="66"/>
        <v>484</v>
      </c>
      <c r="K94" s="117">
        <f t="shared" si="66"/>
        <v>441</v>
      </c>
      <c r="L94" s="26">
        <f t="shared" si="66"/>
        <v>0</v>
      </c>
      <c r="M94" s="117">
        <f t="shared" si="66"/>
        <v>0</v>
      </c>
      <c r="N94" s="26">
        <f t="shared" si="66"/>
        <v>0</v>
      </c>
      <c r="O94" s="117">
        <f t="shared" si="66"/>
        <v>0</v>
      </c>
      <c r="P94" s="26">
        <f t="shared" si="66"/>
        <v>0</v>
      </c>
      <c r="Q94" s="117">
        <f t="shared" si="66"/>
        <v>0</v>
      </c>
      <c r="R94" s="26">
        <f t="shared" si="66"/>
        <v>0</v>
      </c>
      <c r="S94" s="117">
        <f t="shared" si="66"/>
        <v>0</v>
      </c>
      <c r="T94" s="26">
        <f t="shared" si="66"/>
        <v>0</v>
      </c>
      <c r="U94" s="117">
        <f t="shared" si="66"/>
        <v>0</v>
      </c>
      <c r="V94" s="26">
        <f t="shared" si="66"/>
        <v>0</v>
      </c>
      <c r="W94" s="117">
        <f t="shared" si="66"/>
        <v>0</v>
      </c>
      <c r="X94" s="26">
        <f t="shared" si="66"/>
        <v>0</v>
      </c>
      <c r="Y94" s="117">
        <f t="shared" si="66"/>
        <v>0</v>
      </c>
      <c r="Z94" s="26">
        <f t="shared" si="66"/>
        <v>0</v>
      </c>
      <c r="AA94" s="117">
        <f t="shared" si="66"/>
        <v>0</v>
      </c>
      <c r="AB94" s="26">
        <f t="shared" si="66"/>
        <v>0</v>
      </c>
      <c r="AC94" s="117">
        <f t="shared" si="66"/>
        <v>0</v>
      </c>
      <c r="AD94" s="26">
        <f t="shared" si="66"/>
        <v>0</v>
      </c>
      <c r="AE94" s="117">
        <f t="shared" si="66"/>
        <v>0</v>
      </c>
      <c r="AF94" s="26">
        <f t="shared" si="66"/>
        <v>0</v>
      </c>
      <c r="AG94" s="117">
        <f t="shared" si="66"/>
        <v>0</v>
      </c>
      <c r="AH94" s="26">
        <f t="shared" si="66"/>
        <v>0</v>
      </c>
      <c r="AI94" s="117">
        <f t="shared" si="66"/>
        <v>0</v>
      </c>
      <c r="AJ94" s="26">
        <f t="shared" si="66"/>
        <v>0</v>
      </c>
      <c r="AK94" s="117">
        <f t="shared" si="66"/>
        <v>0</v>
      </c>
      <c r="AL94" s="26">
        <f t="shared" si="66"/>
        <v>0</v>
      </c>
      <c r="AM94" s="117">
        <f t="shared" si="66"/>
        <v>0</v>
      </c>
      <c r="AN94" s="26">
        <f t="shared" si="66"/>
        <v>0</v>
      </c>
      <c r="AO94" s="117">
        <f t="shared" si="66"/>
        <v>0</v>
      </c>
      <c r="AP94" s="26">
        <f t="shared" si="66"/>
        <v>0</v>
      </c>
      <c r="AQ94" s="117">
        <f t="shared" si="66"/>
        <v>0</v>
      </c>
      <c r="AS94" s="43">
        <f t="shared" si="55"/>
        <v>8729</v>
      </c>
    </row>
    <row r="95" spans="2:45" x14ac:dyDescent="0.2">
      <c r="B95" s="41">
        <f t="shared" si="53"/>
        <v>13</v>
      </c>
      <c r="C95" s="48" t="str">
        <f t="shared" si="53"/>
        <v>PR Brazo Relajado ®</v>
      </c>
      <c r="D95" s="26" t="e">
        <f t="shared" ref="D95:AQ95" si="67">D17^2</f>
        <v>#VALUE!</v>
      </c>
      <c r="E95" s="117" t="e">
        <f t="shared" si="67"/>
        <v>#VALUE!</v>
      </c>
      <c r="F95" s="26">
        <f t="shared" si="67"/>
        <v>1332.25</v>
      </c>
      <c r="G95" s="117">
        <f t="shared" si="67"/>
        <v>1332.25</v>
      </c>
      <c r="H95" s="26">
        <f t="shared" si="67"/>
        <v>729</v>
      </c>
      <c r="I95" s="117">
        <f t="shared" si="67"/>
        <v>729</v>
      </c>
      <c r="J95" s="26">
        <f t="shared" si="67"/>
        <v>784</v>
      </c>
      <c r="K95" s="117">
        <f t="shared" si="67"/>
        <v>784</v>
      </c>
      <c r="L95" s="26">
        <f t="shared" si="67"/>
        <v>0</v>
      </c>
      <c r="M95" s="117">
        <f t="shared" si="67"/>
        <v>0</v>
      </c>
      <c r="N95" s="26">
        <f t="shared" si="67"/>
        <v>0</v>
      </c>
      <c r="O95" s="117">
        <f t="shared" si="67"/>
        <v>0</v>
      </c>
      <c r="P95" s="26">
        <f t="shared" si="67"/>
        <v>0</v>
      </c>
      <c r="Q95" s="117">
        <f t="shared" si="67"/>
        <v>0</v>
      </c>
      <c r="R95" s="26">
        <f t="shared" si="67"/>
        <v>0</v>
      </c>
      <c r="S95" s="117">
        <f t="shared" si="67"/>
        <v>0</v>
      </c>
      <c r="T95" s="26">
        <f t="shared" si="67"/>
        <v>0</v>
      </c>
      <c r="U95" s="117">
        <f t="shared" si="67"/>
        <v>0</v>
      </c>
      <c r="V95" s="26">
        <f t="shared" si="67"/>
        <v>0</v>
      </c>
      <c r="W95" s="117">
        <f t="shared" si="67"/>
        <v>0</v>
      </c>
      <c r="X95" s="26">
        <f t="shared" si="67"/>
        <v>0</v>
      </c>
      <c r="Y95" s="117">
        <f t="shared" si="67"/>
        <v>0</v>
      </c>
      <c r="Z95" s="26">
        <f t="shared" si="67"/>
        <v>0</v>
      </c>
      <c r="AA95" s="117">
        <f t="shared" si="67"/>
        <v>0</v>
      </c>
      <c r="AB95" s="26">
        <f t="shared" si="67"/>
        <v>0</v>
      </c>
      <c r="AC95" s="117">
        <f t="shared" si="67"/>
        <v>0</v>
      </c>
      <c r="AD95" s="26">
        <f t="shared" si="67"/>
        <v>0</v>
      </c>
      <c r="AE95" s="117">
        <f t="shared" si="67"/>
        <v>0</v>
      </c>
      <c r="AF95" s="26">
        <f t="shared" si="67"/>
        <v>0</v>
      </c>
      <c r="AG95" s="117">
        <f t="shared" si="67"/>
        <v>0</v>
      </c>
      <c r="AH95" s="26">
        <f t="shared" si="67"/>
        <v>0</v>
      </c>
      <c r="AI95" s="117">
        <f t="shared" si="67"/>
        <v>0</v>
      </c>
      <c r="AJ95" s="26">
        <f t="shared" si="67"/>
        <v>0</v>
      </c>
      <c r="AK95" s="117">
        <f t="shared" si="67"/>
        <v>0</v>
      </c>
      <c r="AL95" s="26">
        <f t="shared" si="67"/>
        <v>0</v>
      </c>
      <c r="AM95" s="117">
        <f t="shared" si="67"/>
        <v>0</v>
      </c>
      <c r="AN95" s="26">
        <f t="shared" si="67"/>
        <v>0</v>
      </c>
      <c r="AO95" s="117">
        <f t="shared" si="67"/>
        <v>0</v>
      </c>
      <c r="AP95" s="26">
        <f t="shared" si="67"/>
        <v>0</v>
      </c>
      <c r="AQ95" s="117">
        <f t="shared" si="67"/>
        <v>0</v>
      </c>
      <c r="AS95" s="43" t="e">
        <f t="shared" si="55"/>
        <v>#VALUE!</v>
      </c>
    </row>
    <row r="96" spans="2:45" x14ac:dyDescent="0.2">
      <c r="B96" s="41">
        <f t="shared" si="53"/>
        <v>14</v>
      </c>
      <c r="C96" s="48" t="str">
        <f t="shared" si="53"/>
        <v>PR Brazo Flexionado y Contraído ®</v>
      </c>
      <c r="D96" s="26">
        <f t="shared" ref="D96:AQ96" si="68">D18^2</f>
        <v>729</v>
      </c>
      <c r="E96" s="117">
        <f t="shared" si="68"/>
        <v>729</v>
      </c>
      <c r="F96" s="26">
        <f t="shared" si="68"/>
        <v>1444</v>
      </c>
      <c r="G96" s="117">
        <f t="shared" si="68"/>
        <v>1444</v>
      </c>
      <c r="H96" s="26">
        <f t="shared" si="68"/>
        <v>676</v>
      </c>
      <c r="I96" s="117">
        <f t="shared" si="68"/>
        <v>676</v>
      </c>
      <c r="J96" s="26">
        <f t="shared" si="68"/>
        <v>1024</v>
      </c>
      <c r="K96" s="117">
        <f t="shared" si="68"/>
        <v>1024</v>
      </c>
      <c r="L96" s="26">
        <f t="shared" si="68"/>
        <v>0</v>
      </c>
      <c r="M96" s="117">
        <f t="shared" si="68"/>
        <v>0</v>
      </c>
      <c r="N96" s="26">
        <f t="shared" si="68"/>
        <v>0</v>
      </c>
      <c r="O96" s="117">
        <f t="shared" si="68"/>
        <v>0</v>
      </c>
      <c r="P96" s="26">
        <f t="shared" si="68"/>
        <v>0</v>
      </c>
      <c r="Q96" s="117">
        <f t="shared" si="68"/>
        <v>0</v>
      </c>
      <c r="R96" s="26">
        <f t="shared" si="68"/>
        <v>0</v>
      </c>
      <c r="S96" s="117">
        <f t="shared" si="68"/>
        <v>0</v>
      </c>
      <c r="T96" s="26">
        <f t="shared" si="68"/>
        <v>0</v>
      </c>
      <c r="U96" s="117">
        <f t="shared" si="68"/>
        <v>0</v>
      </c>
      <c r="V96" s="26">
        <f t="shared" si="68"/>
        <v>0</v>
      </c>
      <c r="W96" s="117">
        <f t="shared" si="68"/>
        <v>0</v>
      </c>
      <c r="X96" s="26">
        <f t="shared" si="68"/>
        <v>0</v>
      </c>
      <c r="Y96" s="117">
        <f t="shared" si="68"/>
        <v>0</v>
      </c>
      <c r="Z96" s="26">
        <f t="shared" si="68"/>
        <v>0</v>
      </c>
      <c r="AA96" s="117">
        <f t="shared" si="68"/>
        <v>0</v>
      </c>
      <c r="AB96" s="26">
        <f t="shared" si="68"/>
        <v>0</v>
      </c>
      <c r="AC96" s="117">
        <f t="shared" si="68"/>
        <v>0</v>
      </c>
      <c r="AD96" s="26">
        <f t="shared" si="68"/>
        <v>0</v>
      </c>
      <c r="AE96" s="117">
        <f t="shared" si="68"/>
        <v>0</v>
      </c>
      <c r="AF96" s="26">
        <f t="shared" si="68"/>
        <v>0</v>
      </c>
      <c r="AG96" s="117">
        <f t="shared" si="68"/>
        <v>0</v>
      </c>
      <c r="AH96" s="26">
        <f t="shared" si="68"/>
        <v>0</v>
      </c>
      <c r="AI96" s="117">
        <f t="shared" si="68"/>
        <v>0</v>
      </c>
      <c r="AJ96" s="26">
        <f t="shared" si="68"/>
        <v>0</v>
      </c>
      <c r="AK96" s="117">
        <f t="shared" si="68"/>
        <v>0</v>
      </c>
      <c r="AL96" s="26">
        <f t="shared" si="68"/>
        <v>0</v>
      </c>
      <c r="AM96" s="117">
        <f t="shared" si="68"/>
        <v>0</v>
      </c>
      <c r="AN96" s="26">
        <f t="shared" si="68"/>
        <v>0</v>
      </c>
      <c r="AO96" s="117">
        <f t="shared" si="68"/>
        <v>0</v>
      </c>
      <c r="AP96" s="26">
        <f t="shared" si="68"/>
        <v>0</v>
      </c>
      <c r="AQ96" s="117">
        <f t="shared" si="68"/>
        <v>0</v>
      </c>
      <c r="AS96" s="43">
        <f t="shared" si="55"/>
        <v>7746</v>
      </c>
    </row>
    <row r="97" spans="2:45" x14ac:dyDescent="0.2">
      <c r="B97" s="41">
        <f t="shared" si="53"/>
        <v>15</v>
      </c>
      <c r="C97" s="48" t="str">
        <f t="shared" si="53"/>
        <v>PR Cintura ®</v>
      </c>
      <c r="D97" s="26" t="e">
        <f t="shared" ref="D97:AQ97" si="69">D19^2</f>
        <v>#VALUE!</v>
      </c>
      <c r="E97" s="117" t="e">
        <f t="shared" si="69"/>
        <v>#VALUE!</v>
      </c>
      <c r="F97" s="26">
        <f t="shared" si="69"/>
        <v>10000</v>
      </c>
      <c r="G97" s="117">
        <f t="shared" si="69"/>
        <v>10000</v>
      </c>
      <c r="H97" s="26" t="e">
        <f t="shared" si="69"/>
        <v>#VALUE!</v>
      </c>
      <c r="I97" s="117" t="e">
        <f t="shared" si="69"/>
        <v>#VALUE!</v>
      </c>
      <c r="J97" s="26" t="e">
        <f t="shared" si="69"/>
        <v>#VALUE!</v>
      </c>
      <c r="K97" s="117" t="e">
        <f t="shared" si="69"/>
        <v>#VALUE!</v>
      </c>
      <c r="L97" s="26">
        <f t="shared" si="69"/>
        <v>0</v>
      </c>
      <c r="M97" s="117">
        <f t="shared" si="69"/>
        <v>0</v>
      </c>
      <c r="N97" s="26">
        <f t="shared" si="69"/>
        <v>0</v>
      </c>
      <c r="O97" s="117">
        <f t="shared" si="69"/>
        <v>0</v>
      </c>
      <c r="P97" s="26">
        <f t="shared" si="69"/>
        <v>0</v>
      </c>
      <c r="Q97" s="117">
        <f t="shared" si="69"/>
        <v>0</v>
      </c>
      <c r="R97" s="26">
        <f t="shared" si="69"/>
        <v>0</v>
      </c>
      <c r="S97" s="117">
        <f t="shared" si="69"/>
        <v>0</v>
      </c>
      <c r="T97" s="26">
        <f t="shared" si="69"/>
        <v>0</v>
      </c>
      <c r="U97" s="117">
        <f t="shared" si="69"/>
        <v>0</v>
      </c>
      <c r="V97" s="26">
        <f t="shared" si="69"/>
        <v>0</v>
      </c>
      <c r="W97" s="117">
        <f t="shared" si="69"/>
        <v>0</v>
      </c>
      <c r="X97" s="26">
        <f t="shared" si="69"/>
        <v>0</v>
      </c>
      <c r="Y97" s="117">
        <f t="shared" si="69"/>
        <v>0</v>
      </c>
      <c r="Z97" s="26">
        <f t="shared" si="69"/>
        <v>0</v>
      </c>
      <c r="AA97" s="117">
        <f t="shared" si="69"/>
        <v>0</v>
      </c>
      <c r="AB97" s="26">
        <f t="shared" si="69"/>
        <v>0</v>
      </c>
      <c r="AC97" s="117">
        <f t="shared" si="69"/>
        <v>0</v>
      </c>
      <c r="AD97" s="26">
        <f t="shared" si="69"/>
        <v>0</v>
      </c>
      <c r="AE97" s="117">
        <f t="shared" si="69"/>
        <v>0</v>
      </c>
      <c r="AF97" s="26">
        <f t="shared" si="69"/>
        <v>0</v>
      </c>
      <c r="AG97" s="117">
        <f t="shared" si="69"/>
        <v>0</v>
      </c>
      <c r="AH97" s="26">
        <f t="shared" si="69"/>
        <v>0</v>
      </c>
      <c r="AI97" s="117">
        <f t="shared" si="69"/>
        <v>0</v>
      </c>
      <c r="AJ97" s="26">
        <f t="shared" si="69"/>
        <v>0</v>
      </c>
      <c r="AK97" s="117">
        <f t="shared" si="69"/>
        <v>0</v>
      </c>
      <c r="AL97" s="26">
        <f t="shared" si="69"/>
        <v>0</v>
      </c>
      <c r="AM97" s="117">
        <f t="shared" si="69"/>
        <v>0</v>
      </c>
      <c r="AN97" s="26">
        <f t="shared" si="69"/>
        <v>0</v>
      </c>
      <c r="AO97" s="117">
        <f t="shared" si="69"/>
        <v>0</v>
      </c>
      <c r="AP97" s="26">
        <f t="shared" si="69"/>
        <v>0</v>
      </c>
      <c r="AQ97" s="117">
        <f t="shared" si="69"/>
        <v>0</v>
      </c>
      <c r="AS97" s="43" t="e">
        <f t="shared" si="55"/>
        <v>#VALUE!</v>
      </c>
    </row>
    <row r="98" spans="2:45" x14ac:dyDescent="0.2">
      <c r="B98" s="41">
        <f t="shared" si="53"/>
        <v>16</v>
      </c>
      <c r="C98" s="48" t="str">
        <f t="shared" si="53"/>
        <v>PR Caderas ®</v>
      </c>
      <c r="D98" s="26" t="e">
        <f t="shared" ref="D98:AQ98" si="70">D20^2</f>
        <v>#VALUE!</v>
      </c>
      <c r="E98" s="117" t="e">
        <f t="shared" si="70"/>
        <v>#VALUE!</v>
      </c>
      <c r="F98" s="26">
        <f t="shared" si="70"/>
        <v>14762.25</v>
      </c>
      <c r="G98" s="117">
        <f t="shared" si="70"/>
        <v>14762.25</v>
      </c>
      <c r="H98" s="26">
        <f t="shared" si="70"/>
        <v>9409</v>
      </c>
      <c r="I98" s="117">
        <f t="shared" si="70"/>
        <v>9409</v>
      </c>
      <c r="J98" s="26">
        <f t="shared" si="70"/>
        <v>10100.25</v>
      </c>
      <c r="K98" s="117">
        <f t="shared" si="70"/>
        <v>10201</v>
      </c>
      <c r="L98" s="26">
        <f t="shared" si="70"/>
        <v>0</v>
      </c>
      <c r="M98" s="117">
        <f t="shared" si="70"/>
        <v>0</v>
      </c>
      <c r="N98" s="26">
        <f t="shared" si="70"/>
        <v>0</v>
      </c>
      <c r="O98" s="117">
        <f t="shared" si="70"/>
        <v>0</v>
      </c>
      <c r="P98" s="26">
        <f t="shared" si="70"/>
        <v>0</v>
      </c>
      <c r="Q98" s="117">
        <f t="shared" si="70"/>
        <v>0</v>
      </c>
      <c r="R98" s="26">
        <f t="shared" si="70"/>
        <v>0</v>
      </c>
      <c r="S98" s="117">
        <f t="shared" si="70"/>
        <v>0</v>
      </c>
      <c r="T98" s="26">
        <f t="shared" si="70"/>
        <v>0</v>
      </c>
      <c r="U98" s="117">
        <f t="shared" si="70"/>
        <v>0</v>
      </c>
      <c r="V98" s="26">
        <f t="shared" si="70"/>
        <v>0</v>
      </c>
      <c r="W98" s="117">
        <f t="shared" si="70"/>
        <v>0</v>
      </c>
      <c r="X98" s="26">
        <f t="shared" si="70"/>
        <v>0</v>
      </c>
      <c r="Y98" s="117">
        <f t="shared" si="70"/>
        <v>0</v>
      </c>
      <c r="Z98" s="26">
        <f t="shared" si="70"/>
        <v>0</v>
      </c>
      <c r="AA98" s="117">
        <f t="shared" si="70"/>
        <v>0</v>
      </c>
      <c r="AB98" s="26">
        <f t="shared" si="70"/>
        <v>0</v>
      </c>
      <c r="AC98" s="117">
        <f t="shared" si="70"/>
        <v>0</v>
      </c>
      <c r="AD98" s="26">
        <f t="shared" si="70"/>
        <v>0</v>
      </c>
      <c r="AE98" s="117">
        <f t="shared" si="70"/>
        <v>0</v>
      </c>
      <c r="AF98" s="26">
        <f t="shared" si="70"/>
        <v>0</v>
      </c>
      <c r="AG98" s="117">
        <f t="shared" si="70"/>
        <v>0</v>
      </c>
      <c r="AH98" s="26">
        <f t="shared" si="70"/>
        <v>0</v>
      </c>
      <c r="AI98" s="117">
        <f t="shared" si="70"/>
        <v>0</v>
      </c>
      <c r="AJ98" s="26">
        <f t="shared" si="70"/>
        <v>0</v>
      </c>
      <c r="AK98" s="117">
        <f t="shared" si="70"/>
        <v>0</v>
      </c>
      <c r="AL98" s="26">
        <f t="shared" si="70"/>
        <v>0</v>
      </c>
      <c r="AM98" s="117">
        <f t="shared" si="70"/>
        <v>0</v>
      </c>
      <c r="AN98" s="26">
        <f t="shared" si="70"/>
        <v>0</v>
      </c>
      <c r="AO98" s="117">
        <f t="shared" si="70"/>
        <v>0</v>
      </c>
      <c r="AP98" s="26">
        <f t="shared" si="70"/>
        <v>0</v>
      </c>
      <c r="AQ98" s="117">
        <f t="shared" si="70"/>
        <v>0</v>
      </c>
      <c r="AS98" s="43" t="e">
        <f t="shared" si="55"/>
        <v>#VALUE!</v>
      </c>
    </row>
    <row r="99" spans="2:45" x14ac:dyDescent="0.2">
      <c r="B99" s="41">
        <f t="shared" si="53"/>
        <v>17</v>
      </c>
      <c r="C99" s="48" t="str">
        <f t="shared" si="53"/>
        <v>PR Muslo Medio ®</v>
      </c>
      <c r="D99" s="26" t="e">
        <f t="shared" ref="D99:AQ99" si="71">D21^2</f>
        <v>#VALUE!</v>
      </c>
      <c r="E99" s="117" t="e">
        <f t="shared" si="71"/>
        <v>#VALUE!</v>
      </c>
      <c r="F99" s="26">
        <f t="shared" si="71"/>
        <v>4160.25</v>
      </c>
      <c r="G99" s="117">
        <f t="shared" si="71"/>
        <v>4225</v>
      </c>
      <c r="H99" s="26">
        <f t="shared" si="71"/>
        <v>2756.25</v>
      </c>
      <c r="I99" s="117">
        <f t="shared" si="71"/>
        <v>2756.25</v>
      </c>
      <c r="J99" s="26">
        <f t="shared" si="71"/>
        <v>2862.25</v>
      </c>
      <c r="K99" s="117">
        <f t="shared" si="71"/>
        <v>2916</v>
      </c>
      <c r="L99" s="26">
        <f t="shared" si="71"/>
        <v>0</v>
      </c>
      <c r="M99" s="117">
        <f t="shared" si="71"/>
        <v>0</v>
      </c>
      <c r="N99" s="26">
        <f t="shared" si="71"/>
        <v>0</v>
      </c>
      <c r="O99" s="117">
        <f t="shared" si="71"/>
        <v>0</v>
      </c>
      <c r="P99" s="26">
        <f t="shared" si="71"/>
        <v>0</v>
      </c>
      <c r="Q99" s="117">
        <f t="shared" si="71"/>
        <v>0</v>
      </c>
      <c r="R99" s="26">
        <f t="shared" si="71"/>
        <v>0</v>
      </c>
      <c r="S99" s="117">
        <f t="shared" si="71"/>
        <v>0</v>
      </c>
      <c r="T99" s="26">
        <f t="shared" si="71"/>
        <v>0</v>
      </c>
      <c r="U99" s="117">
        <f t="shared" si="71"/>
        <v>0</v>
      </c>
      <c r="V99" s="26">
        <f t="shared" si="71"/>
        <v>0</v>
      </c>
      <c r="W99" s="117">
        <f t="shared" si="71"/>
        <v>0</v>
      </c>
      <c r="X99" s="26">
        <f t="shared" si="71"/>
        <v>0</v>
      </c>
      <c r="Y99" s="117">
        <f t="shared" si="71"/>
        <v>0</v>
      </c>
      <c r="Z99" s="26">
        <f t="shared" si="71"/>
        <v>0</v>
      </c>
      <c r="AA99" s="117">
        <f t="shared" si="71"/>
        <v>0</v>
      </c>
      <c r="AB99" s="26">
        <f t="shared" si="71"/>
        <v>0</v>
      </c>
      <c r="AC99" s="117">
        <f t="shared" si="71"/>
        <v>0</v>
      </c>
      <c r="AD99" s="26">
        <f t="shared" si="71"/>
        <v>0</v>
      </c>
      <c r="AE99" s="117">
        <f t="shared" si="71"/>
        <v>0</v>
      </c>
      <c r="AF99" s="26">
        <f t="shared" si="71"/>
        <v>0</v>
      </c>
      <c r="AG99" s="117">
        <f t="shared" si="71"/>
        <v>0</v>
      </c>
      <c r="AH99" s="26">
        <f t="shared" si="71"/>
        <v>0</v>
      </c>
      <c r="AI99" s="117">
        <f t="shared" si="71"/>
        <v>0</v>
      </c>
      <c r="AJ99" s="26">
        <f t="shared" si="71"/>
        <v>0</v>
      </c>
      <c r="AK99" s="117">
        <f t="shared" si="71"/>
        <v>0</v>
      </c>
      <c r="AL99" s="26">
        <f t="shared" si="71"/>
        <v>0</v>
      </c>
      <c r="AM99" s="117">
        <f t="shared" si="71"/>
        <v>0</v>
      </c>
      <c r="AN99" s="26">
        <f t="shared" si="71"/>
        <v>0</v>
      </c>
      <c r="AO99" s="117">
        <f t="shared" si="71"/>
        <v>0</v>
      </c>
      <c r="AP99" s="26">
        <f t="shared" si="71"/>
        <v>0</v>
      </c>
      <c r="AQ99" s="117">
        <f t="shared" si="71"/>
        <v>0</v>
      </c>
      <c r="AS99" s="43" t="e">
        <f t="shared" si="55"/>
        <v>#VALUE!</v>
      </c>
    </row>
    <row r="100" spans="2:45" x14ac:dyDescent="0.2">
      <c r="B100" s="41">
        <f t="shared" si="53"/>
        <v>18</v>
      </c>
      <c r="C100" s="48" t="str">
        <f t="shared" si="53"/>
        <v>PR Pierna ®</v>
      </c>
      <c r="D100" s="26">
        <f t="shared" ref="D100:AQ100" si="72">D22^2</f>
        <v>1024</v>
      </c>
      <c r="E100" s="117">
        <f t="shared" si="72"/>
        <v>1024</v>
      </c>
      <c r="F100" s="26">
        <f t="shared" si="72"/>
        <v>2116</v>
      </c>
      <c r="G100" s="117">
        <f t="shared" si="72"/>
        <v>2125.21</v>
      </c>
      <c r="H100" s="26" t="e">
        <f t="shared" si="72"/>
        <v>#VALUE!</v>
      </c>
      <c r="I100" s="117" t="e">
        <f t="shared" si="72"/>
        <v>#VALUE!</v>
      </c>
      <c r="J100" s="26" t="e">
        <f t="shared" si="72"/>
        <v>#VALUE!</v>
      </c>
      <c r="K100" s="117" t="e">
        <f t="shared" si="72"/>
        <v>#VALUE!</v>
      </c>
      <c r="L100" s="26">
        <f t="shared" si="72"/>
        <v>0</v>
      </c>
      <c r="M100" s="117">
        <f t="shared" si="72"/>
        <v>0</v>
      </c>
      <c r="N100" s="26">
        <f t="shared" si="72"/>
        <v>0</v>
      </c>
      <c r="O100" s="117">
        <f t="shared" si="72"/>
        <v>0</v>
      </c>
      <c r="P100" s="26">
        <f t="shared" si="72"/>
        <v>0</v>
      </c>
      <c r="Q100" s="117">
        <f t="shared" si="72"/>
        <v>0</v>
      </c>
      <c r="R100" s="26">
        <f t="shared" si="72"/>
        <v>0</v>
      </c>
      <c r="S100" s="117">
        <f t="shared" si="72"/>
        <v>0</v>
      </c>
      <c r="T100" s="26">
        <f t="shared" si="72"/>
        <v>0</v>
      </c>
      <c r="U100" s="117">
        <f t="shared" si="72"/>
        <v>0</v>
      </c>
      <c r="V100" s="26">
        <f t="shared" si="72"/>
        <v>0</v>
      </c>
      <c r="W100" s="117">
        <f t="shared" si="72"/>
        <v>0</v>
      </c>
      <c r="X100" s="26">
        <f t="shared" si="72"/>
        <v>0</v>
      </c>
      <c r="Y100" s="117">
        <f t="shared" si="72"/>
        <v>0</v>
      </c>
      <c r="Z100" s="26">
        <f t="shared" si="72"/>
        <v>0</v>
      </c>
      <c r="AA100" s="117">
        <f t="shared" si="72"/>
        <v>0</v>
      </c>
      <c r="AB100" s="26">
        <f t="shared" si="72"/>
        <v>0</v>
      </c>
      <c r="AC100" s="117">
        <f t="shared" si="72"/>
        <v>0</v>
      </c>
      <c r="AD100" s="26">
        <f t="shared" si="72"/>
        <v>0</v>
      </c>
      <c r="AE100" s="117">
        <f t="shared" si="72"/>
        <v>0</v>
      </c>
      <c r="AF100" s="26">
        <f t="shared" si="72"/>
        <v>0</v>
      </c>
      <c r="AG100" s="117">
        <f t="shared" si="72"/>
        <v>0</v>
      </c>
      <c r="AH100" s="26">
        <f t="shared" si="72"/>
        <v>0</v>
      </c>
      <c r="AI100" s="117">
        <f t="shared" si="72"/>
        <v>0</v>
      </c>
      <c r="AJ100" s="26">
        <f t="shared" si="72"/>
        <v>0</v>
      </c>
      <c r="AK100" s="117">
        <f t="shared" si="72"/>
        <v>0</v>
      </c>
      <c r="AL100" s="26">
        <f t="shared" si="72"/>
        <v>0</v>
      </c>
      <c r="AM100" s="117">
        <f t="shared" si="72"/>
        <v>0</v>
      </c>
      <c r="AN100" s="26">
        <f t="shared" si="72"/>
        <v>0</v>
      </c>
      <c r="AO100" s="117">
        <f t="shared" si="72"/>
        <v>0</v>
      </c>
      <c r="AP100" s="26">
        <f t="shared" si="72"/>
        <v>0</v>
      </c>
      <c r="AQ100" s="117">
        <f t="shared" si="72"/>
        <v>0</v>
      </c>
      <c r="AS100" s="43" t="e">
        <f t="shared" si="55"/>
        <v>#VALUE!</v>
      </c>
    </row>
    <row r="101" spans="2:45" x14ac:dyDescent="0.2">
      <c r="B101" s="41">
        <f t="shared" si="53"/>
        <v>19</v>
      </c>
      <c r="C101" s="48" t="str">
        <f t="shared" si="53"/>
        <v>D Húmero ®</v>
      </c>
      <c r="D101" s="26">
        <f t="shared" ref="D101:AQ101" si="73">D23^2</f>
        <v>77.440000000000012</v>
      </c>
      <c r="E101" s="117">
        <f t="shared" si="73"/>
        <v>77.440000000000012</v>
      </c>
      <c r="F101" s="26">
        <f t="shared" si="73"/>
        <v>81</v>
      </c>
      <c r="G101" s="117">
        <f t="shared" si="73"/>
        <v>84.639999999999986</v>
      </c>
      <c r="H101" s="26" t="e">
        <f t="shared" si="73"/>
        <v>#VALUE!</v>
      </c>
      <c r="I101" s="117" t="e">
        <f t="shared" si="73"/>
        <v>#VALUE!</v>
      </c>
      <c r="J101" s="26">
        <f t="shared" si="73"/>
        <v>40.960000000000008</v>
      </c>
      <c r="K101" s="117">
        <f t="shared" si="73"/>
        <v>40.960000000000008</v>
      </c>
      <c r="L101" s="26">
        <f t="shared" si="73"/>
        <v>0</v>
      </c>
      <c r="M101" s="117">
        <f t="shared" si="73"/>
        <v>0</v>
      </c>
      <c r="N101" s="26">
        <f t="shared" si="73"/>
        <v>0</v>
      </c>
      <c r="O101" s="117">
        <f t="shared" si="73"/>
        <v>0</v>
      </c>
      <c r="P101" s="26">
        <f t="shared" si="73"/>
        <v>0</v>
      </c>
      <c r="Q101" s="117">
        <f t="shared" si="73"/>
        <v>0</v>
      </c>
      <c r="R101" s="26">
        <f t="shared" si="73"/>
        <v>0</v>
      </c>
      <c r="S101" s="117">
        <f t="shared" si="73"/>
        <v>0</v>
      </c>
      <c r="T101" s="26">
        <f t="shared" si="73"/>
        <v>0</v>
      </c>
      <c r="U101" s="117">
        <f t="shared" si="73"/>
        <v>0</v>
      </c>
      <c r="V101" s="26">
        <f t="shared" si="73"/>
        <v>0</v>
      </c>
      <c r="W101" s="117">
        <f t="shared" si="73"/>
        <v>0</v>
      </c>
      <c r="X101" s="26">
        <f t="shared" si="73"/>
        <v>0</v>
      </c>
      <c r="Y101" s="117">
        <f t="shared" si="73"/>
        <v>0</v>
      </c>
      <c r="Z101" s="26">
        <f t="shared" si="73"/>
        <v>0</v>
      </c>
      <c r="AA101" s="117">
        <f t="shared" si="73"/>
        <v>0</v>
      </c>
      <c r="AB101" s="26">
        <f t="shared" si="73"/>
        <v>0</v>
      </c>
      <c r="AC101" s="117">
        <f t="shared" si="73"/>
        <v>0</v>
      </c>
      <c r="AD101" s="26">
        <f t="shared" si="73"/>
        <v>0</v>
      </c>
      <c r="AE101" s="117">
        <f t="shared" si="73"/>
        <v>0</v>
      </c>
      <c r="AF101" s="26">
        <f t="shared" si="73"/>
        <v>0</v>
      </c>
      <c r="AG101" s="117">
        <f t="shared" si="73"/>
        <v>0</v>
      </c>
      <c r="AH101" s="26">
        <f t="shared" si="73"/>
        <v>0</v>
      </c>
      <c r="AI101" s="117">
        <f t="shared" si="73"/>
        <v>0</v>
      </c>
      <c r="AJ101" s="26">
        <f t="shared" si="73"/>
        <v>0</v>
      </c>
      <c r="AK101" s="117">
        <f t="shared" si="73"/>
        <v>0</v>
      </c>
      <c r="AL101" s="26">
        <f t="shared" si="73"/>
        <v>0</v>
      </c>
      <c r="AM101" s="117">
        <f t="shared" si="73"/>
        <v>0</v>
      </c>
      <c r="AN101" s="26">
        <f t="shared" si="73"/>
        <v>0</v>
      </c>
      <c r="AO101" s="117">
        <f t="shared" si="73"/>
        <v>0</v>
      </c>
      <c r="AP101" s="26">
        <f t="shared" si="73"/>
        <v>0</v>
      </c>
      <c r="AQ101" s="117">
        <f t="shared" si="73"/>
        <v>0</v>
      </c>
      <c r="AS101" s="43" t="e">
        <f t="shared" si="55"/>
        <v>#VALUE!</v>
      </c>
    </row>
    <row r="102" spans="2:45" x14ac:dyDescent="0.2">
      <c r="B102" s="41">
        <f t="shared" si="53"/>
        <v>20</v>
      </c>
      <c r="C102" s="48" t="str">
        <f t="shared" si="53"/>
        <v>D Biestiloideo ®</v>
      </c>
      <c r="D102" s="26">
        <f t="shared" ref="D102:AQ102" si="74">D24^2</f>
        <v>49</v>
      </c>
      <c r="E102" s="117">
        <f t="shared" si="74"/>
        <v>49</v>
      </c>
      <c r="F102" s="26">
        <f t="shared" si="74"/>
        <v>75.689999999999984</v>
      </c>
      <c r="G102" s="117">
        <f t="shared" si="74"/>
        <v>75.689999999999984</v>
      </c>
      <c r="H102" s="26" t="e">
        <f t="shared" si="74"/>
        <v>#VALUE!</v>
      </c>
      <c r="I102" s="117" t="e">
        <f t="shared" si="74"/>
        <v>#VALUE!</v>
      </c>
      <c r="J102" s="26" t="e">
        <f t="shared" si="74"/>
        <v>#VALUE!</v>
      </c>
      <c r="K102" s="117" t="e">
        <f t="shared" si="74"/>
        <v>#VALUE!</v>
      </c>
      <c r="L102" s="26">
        <f t="shared" si="74"/>
        <v>0</v>
      </c>
      <c r="M102" s="117">
        <f t="shared" si="74"/>
        <v>0</v>
      </c>
      <c r="N102" s="26">
        <f t="shared" si="74"/>
        <v>0</v>
      </c>
      <c r="O102" s="117">
        <f t="shared" si="74"/>
        <v>0</v>
      </c>
      <c r="P102" s="26">
        <f t="shared" si="74"/>
        <v>0</v>
      </c>
      <c r="Q102" s="117">
        <f t="shared" si="74"/>
        <v>0</v>
      </c>
      <c r="R102" s="26">
        <f t="shared" si="74"/>
        <v>0</v>
      </c>
      <c r="S102" s="117">
        <f t="shared" si="74"/>
        <v>0</v>
      </c>
      <c r="T102" s="26">
        <f t="shared" si="74"/>
        <v>0</v>
      </c>
      <c r="U102" s="117">
        <f t="shared" si="74"/>
        <v>0</v>
      </c>
      <c r="V102" s="26">
        <f t="shared" si="74"/>
        <v>0</v>
      </c>
      <c r="W102" s="117">
        <f t="shared" si="74"/>
        <v>0</v>
      </c>
      <c r="X102" s="26">
        <f t="shared" si="74"/>
        <v>0</v>
      </c>
      <c r="Y102" s="117">
        <f t="shared" si="74"/>
        <v>0</v>
      </c>
      <c r="Z102" s="26">
        <f t="shared" si="74"/>
        <v>0</v>
      </c>
      <c r="AA102" s="117">
        <f t="shared" si="74"/>
        <v>0</v>
      </c>
      <c r="AB102" s="26">
        <f t="shared" si="74"/>
        <v>0</v>
      </c>
      <c r="AC102" s="117">
        <f t="shared" si="74"/>
        <v>0</v>
      </c>
      <c r="AD102" s="26">
        <f t="shared" si="74"/>
        <v>0</v>
      </c>
      <c r="AE102" s="117">
        <f t="shared" si="74"/>
        <v>0</v>
      </c>
      <c r="AF102" s="26">
        <f t="shared" si="74"/>
        <v>0</v>
      </c>
      <c r="AG102" s="117">
        <f t="shared" si="74"/>
        <v>0</v>
      </c>
      <c r="AH102" s="26">
        <f t="shared" si="74"/>
        <v>0</v>
      </c>
      <c r="AI102" s="117">
        <f t="shared" si="74"/>
        <v>0</v>
      </c>
      <c r="AJ102" s="26">
        <f t="shared" si="74"/>
        <v>0</v>
      </c>
      <c r="AK102" s="117">
        <f t="shared" si="74"/>
        <v>0</v>
      </c>
      <c r="AL102" s="26">
        <f t="shared" si="74"/>
        <v>0</v>
      </c>
      <c r="AM102" s="117">
        <f t="shared" si="74"/>
        <v>0</v>
      </c>
      <c r="AN102" s="26">
        <f t="shared" si="74"/>
        <v>0</v>
      </c>
      <c r="AO102" s="117">
        <f t="shared" si="74"/>
        <v>0</v>
      </c>
      <c r="AP102" s="26">
        <f t="shared" si="74"/>
        <v>0</v>
      </c>
      <c r="AQ102" s="117">
        <f t="shared" si="74"/>
        <v>0</v>
      </c>
      <c r="AS102" s="43" t="e">
        <f t="shared" si="55"/>
        <v>#VALUE!</v>
      </c>
    </row>
    <row r="103" spans="2:45" ht="13.5" thickBot="1" x14ac:dyDescent="0.25">
      <c r="B103" s="44">
        <f t="shared" si="53"/>
        <v>21</v>
      </c>
      <c r="C103" s="49" t="str">
        <f t="shared" si="53"/>
        <v>D Fémur ®</v>
      </c>
      <c r="D103" s="28">
        <f t="shared" ref="D103:AQ103" si="75">D25^2</f>
        <v>121</v>
      </c>
      <c r="E103" s="170">
        <f t="shared" si="75"/>
        <v>121</v>
      </c>
      <c r="F103" s="28">
        <f t="shared" si="75"/>
        <v>196</v>
      </c>
      <c r="G103" s="170">
        <f t="shared" si="75"/>
        <v>210.25</v>
      </c>
      <c r="H103" s="28" t="e">
        <f t="shared" si="75"/>
        <v>#VALUE!</v>
      </c>
      <c r="I103" s="170" t="e">
        <f t="shared" si="75"/>
        <v>#VALUE!</v>
      </c>
      <c r="J103" s="28" t="e">
        <f t="shared" si="75"/>
        <v>#VALUE!</v>
      </c>
      <c r="K103" s="170" t="e">
        <f t="shared" si="75"/>
        <v>#VALUE!</v>
      </c>
      <c r="L103" s="28">
        <f t="shared" si="75"/>
        <v>0</v>
      </c>
      <c r="M103" s="170">
        <f t="shared" si="75"/>
        <v>0</v>
      </c>
      <c r="N103" s="28">
        <f t="shared" si="75"/>
        <v>0</v>
      </c>
      <c r="O103" s="170">
        <f t="shared" si="75"/>
        <v>0</v>
      </c>
      <c r="P103" s="28">
        <f t="shared" si="75"/>
        <v>0</v>
      </c>
      <c r="Q103" s="170">
        <f t="shared" si="75"/>
        <v>0</v>
      </c>
      <c r="R103" s="28">
        <f t="shared" si="75"/>
        <v>0</v>
      </c>
      <c r="S103" s="170">
        <f t="shared" si="75"/>
        <v>0</v>
      </c>
      <c r="T103" s="28">
        <f t="shared" si="75"/>
        <v>0</v>
      </c>
      <c r="U103" s="170">
        <f t="shared" si="75"/>
        <v>0</v>
      </c>
      <c r="V103" s="28">
        <f t="shared" si="75"/>
        <v>0</v>
      </c>
      <c r="W103" s="170">
        <f t="shared" si="75"/>
        <v>0</v>
      </c>
      <c r="X103" s="28">
        <f t="shared" si="75"/>
        <v>0</v>
      </c>
      <c r="Y103" s="170">
        <f t="shared" si="75"/>
        <v>0</v>
      </c>
      <c r="Z103" s="28">
        <f t="shared" si="75"/>
        <v>0</v>
      </c>
      <c r="AA103" s="170">
        <f t="shared" si="75"/>
        <v>0</v>
      </c>
      <c r="AB103" s="28">
        <f t="shared" si="75"/>
        <v>0</v>
      </c>
      <c r="AC103" s="170">
        <f t="shared" si="75"/>
        <v>0</v>
      </c>
      <c r="AD103" s="28">
        <f t="shared" si="75"/>
        <v>0</v>
      </c>
      <c r="AE103" s="170">
        <f t="shared" si="75"/>
        <v>0</v>
      </c>
      <c r="AF103" s="28">
        <f t="shared" si="75"/>
        <v>0</v>
      </c>
      <c r="AG103" s="170">
        <f t="shared" si="75"/>
        <v>0</v>
      </c>
      <c r="AH103" s="28">
        <f t="shared" si="75"/>
        <v>0</v>
      </c>
      <c r="AI103" s="170">
        <f t="shared" si="75"/>
        <v>0</v>
      </c>
      <c r="AJ103" s="28">
        <f t="shared" si="75"/>
        <v>0</v>
      </c>
      <c r="AK103" s="170">
        <f t="shared" si="75"/>
        <v>0</v>
      </c>
      <c r="AL103" s="28">
        <f t="shared" si="75"/>
        <v>0</v>
      </c>
      <c r="AM103" s="170">
        <f t="shared" si="75"/>
        <v>0</v>
      </c>
      <c r="AN103" s="28">
        <f t="shared" si="75"/>
        <v>0</v>
      </c>
      <c r="AO103" s="170">
        <f t="shared" si="75"/>
        <v>0</v>
      </c>
      <c r="AP103" s="28">
        <f t="shared" si="75"/>
        <v>0</v>
      </c>
      <c r="AQ103" s="170">
        <f t="shared" si="75"/>
        <v>0</v>
      </c>
      <c r="AS103" s="46" t="e">
        <f t="shared" si="55"/>
        <v>#VALUE!</v>
      </c>
    </row>
  </sheetData>
  <sheetProtection algorithmName="SHA-512" hashValue="Wx99RJsgnk7kXZhCzN2wbMR1umrk54YjCt2U+A6AT4v6uydTcfh7ahbQvtLryFotqeaZR9Ov/xx+4dQr5iQJUw==" saltValue="tpwU1p09QPEY7ELVT3FL8w==" spinCount="100000" sheet="1" objects="1" scenarios="1" selectLockedCells="1"/>
  <mergeCells count="46">
    <mergeCell ref="B1:AT1"/>
    <mergeCell ref="B27:AT27"/>
    <mergeCell ref="B53:AT53"/>
    <mergeCell ref="B79:AT79"/>
    <mergeCell ref="D81:E81"/>
    <mergeCell ref="F81:G81"/>
    <mergeCell ref="H81:I81"/>
    <mergeCell ref="J81:K81"/>
    <mergeCell ref="T81:U81"/>
    <mergeCell ref="V81:W81"/>
    <mergeCell ref="X81:Y81"/>
    <mergeCell ref="Z81:AA81"/>
    <mergeCell ref="L81:M81"/>
    <mergeCell ref="N81:O81"/>
    <mergeCell ref="P81:Q81"/>
    <mergeCell ref="R81:S81"/>
    <mergeCell ref="AP81:AQ81"/>
    <mergeCell ref="AB81:AC81"/>
    <mergeCell ref="AD81:AE81"/>
    <mergeCell ref="AF81:AG81"/>
    <mergeCell ref="AH81:AI81"/>
    <mergeCell ref="Y29:AA29"/>
    <mergeCell ref="AC29:AE29"/>
    <mergeCell ref="AJ81:AK81"/>
    <mergeCell ref="AL81:AM81"/>
    <mergeCell ref="AN81:AO81"/>
    <mergeCell ref="Z3:AA3"/>
    <mergeCell ref="D3:E3"/>
    <mergeCell ref="F3:G3"/>
    <mergeCell ref="H3:I3"/>
    <mergeCell ref="J3:K3"/>
    <mergeCell ref="L3:M3"/>
    <mergeCell ref="N3:O3"/>
    <mergeCell ref="P3:Q3"/>
    <mergeCell ref="R3:S3"/>
    <mergeCell ref="T3:U3"/>
    <mergeCell ref="V3:W3"/>
    <mergeCell ref="X3:Y3"/>
    <mergeCell ref="AN3:AO3"/>
    <mergeCell ref="AP3:AQ3"/>
    <mergeCell ref="AB3:AC3"/>
    <mergeCell ref="AD3:AE3"/>
    <mergeCell ref="AF3:AG3"/>
    <mergeCell ref="AH3:AI3"/>
    <mergeCell ref="AJ3:AK3"/>
    <mergeCell ref="AL3:AM3"/>
  </mergeCells>
  <phoneticPr fontId="7" type="noConversion"/>
  <pageMargins left="0" right="0" top="1" bottom="1" header="0.5" footer="0.5"/>
  <pageSetup paperSize="9" orientation="portrait" horizontalDpi="4294967292" verticalDpi="4294967292"/>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3"/>
  <dimension ref="A1:AM64"/>
  <sheetViews>
    <sheetView showGridLines="0" zoomScale="87" workbookViewId="0"/>
  </sheetViews>
  <sheetFormatPr baseColWidth="10" defaultColWidth="9.140625" defaultRowHeight="12.75" x14ac:dyDescent="0.2"/>
  <cols>
    <col min="1" max="1" width="3.28515625" style="9" customWidth="1"/>
    <col min="2" max="2" width="4.28515625" style="9" customWidth="1"/>
    <col min="3" max="3" width="27.42578125" style="9" bestFit="1" customWidth="1"/>
    <col min="4" max="11" width="8.7109375" style="19" customWidth="1"/>
    <col min="12" max="12" width="3.28515625" style="19" customWidth="1"/>
    <col min="13" max="15" width="8.7109375" style="19" customWidth="1"/>
    <col min="16" max="16" width="3.28515625" style="9" customWidth="1"/>
    <col min="17" max="18" width="8.7109375" style="9" customWidth="1"/>
    <col min="19" max="19" width="3.28515625" style="9" customWidth="1"/>
    <col min="20" max="16384" width="9.140625" style="9"/>
  </cols>
  <sheetData>
    <row r="1" spans="1:39" ht="23.25" x14ac:dyDescent="0.2">
      <c r="A1" s="17"/>
      <c r="B1" s="256" t="str">
        <f>IF(Info!J51=1, "MEASUREMENT ERROR GRAPH", "GRÁFICO DE ERROR DE MEDIDA")</f>
        <v>GRÁFICO DE ERROR DE MEDIDA</v>
      </c>
      <c r="C1" s="256"/>
      <c r="D1" s="256"/>
      <c r="E1" s="256"/>
      <c r="F1" s="256"/>
      <c r="G1" s="256"/>
      <c r="H1" s="256"/>
      <c r="I1" s="256"/>
      <c r="J1" s="256"/>
      <c r="K1" s="256"/>
      <c r="L1" s="256"/>
      <c r="M1" s="256"/>
      <c r="N1" s="256"/>
      <c r="O1" s="256"/>
      <c r="P1" s="256"/>
      <c r="Q1" s="256"/>
      <c r="R1" s="256"/>
      <c r="S1" s="120"/>
      <c r="T1" s="120"/>
      <c r="U1" s="120"/>
      <c r="V1" s="120"/>
      <c r="W1" s="120"/>
      <c r="X1" s="120"/>
      <c r="Y1" s="120"/>
      <c r="Z1" s="120"/>
      <c r="AA1" s="120"/>
      <c r="AB1" s="120"/>
      <c r="AC1" s="120"/>
      <c r="AD1" s="120"/>
      <c r="AE1" s="120"/>
      <c r="AF1" s="120"/>
      <c r="AG1" s="120"/>
      <c r="AH1" s="120"/>
      <c r="AI1" s="120"/>
      <c r="AJ1" s="120"/>
      <c r="AK1" s="120"/>
      <c r="AL1" s="120"/>
      <c r="AM1" s="120"/>
    </row>
    <row r="38" spans="1:39" ht="28.15" customHeight="1" x14ac:dyDescent="0.2"/>
    <row r="39" spans="1:39" ht="23.25" x14ac:dyDescent="0.2">
      <c r="A39" s="17"/>
      <c r="B39" s="256" t="str">
        <f>IF(Info!J3, "ANTHROPOMETRIC MEASUREMENT ERROR", "ERROR EN LA MEDIDA ANTROPOMÉTRICA")</f>
        <v>ERROR EN LA MEDIDA ANTROPOMÉTRICA</v>
      </c>
      <c r="C39" s="256"/>
      <c r="D39" s="256"/>
      <c r="E39" s="256"/>
      <c r="F39" s="256"/>
      <c r="G39" s="256"/>
      <c r="H39" s="256"/>
      <c r="I39" s="256"/>
      <c r="J39" s="256"/>
      <c r="K39" s="256"/>
      <c r="L39" s="256"/>
      <c r="M39" s="256"/>
      <c r="N39" s="256"/>
      <c r="O39" s="256"/>
      <c r="P39" s="256"/>
      <c r="Q39" s="256"/>
      <c r="R39" s="256"/>
      <c r="S39" s="120"/>
      <c r="T39" s="120"/>
      <c r="U39" s="120"/>
      <c r="V39" s="120"/>
      <c r="W39" s="120"/>
      <c r="X39" s="120"/>
      <c r="Y39" s="120"/>
      <c r="Z39" s="120"/>
      <c r="AA39" s="120"/>
      <c r="AB39" s="120"/>
      <c r="AC39" s="120"/>
      <c r="AD39" s="120"/>
      <c r="AE39" s="120"/>
      <c r="AF39" s="120"/>
      <c r="AG39" s="120"/>
      <c r="AH39" s="120"/>
      <c r="AI39" s="120"/>
      <c r="AJ39" s="120"/>
      <c r="AK39" s="120"/>
      <c r="AL39" s="120"/>
      <c r="AM39" s="120"/>
    </row>
    <row r="40" spans="1:39" s="17" customFormat="1" ht="13.5" thickBot="1" x14ac:dyDescent="0.25">
      <c r="C40" s="162"/>
      <c r="D40" s="51"/>
      <c r="E40" s="51"/>
      <c r="F40" s="51"/>
      <c r="G40" s="51"/>
      <c r="H40" s="51"/>
      <c r="I40" s="51"/>
      <c r="J40" s="51"/>
      <c r="K40" s="124"/>
      <c r="L40" s="124"/>
      <c r="M40" s="51"/>
      <c r="N40" s="51"/>
      <c r="O40" s="51"/>
      <c r="Q40" s="125"/>
      <c r="R40" s="125"/>
    </row>
    <row r="41" spans="1:39" s="17" customFormat="1" x14ac:dyDescent="0.2">
      <c r="C41" s="162"/>
      <c r="D41" s="302" t="str">
        <f>IF(Info!J3, "Degrees of Freedom", "Grados de Libertad")</f>
        <v>Grados de Libertad</v>
      </c>
      <c r="E41" s="303"/>
      <c r="F41" s="304"/>
      <c r="G41" s="302" t="str">
        <f>IF(Info!J3, "Sum of Squares", "Suma de Cuadrados")</f>
        <v>Suma de Cuadrados</v>
      </c>
      <c r="H41" s="303"/>
      <c r="I41" s="304"/>
      <c r="J41" s="302" t="str">
        <f>IF(Info!J3, "Mean Square", "Media de los Cuadrados")</f>
        <v>Media de los Cuadrados</v>
      </c>
      <c r="K41" s="305"/>
      <c r="L41" s="124"/>
      <c r="M41" s="302" t="str">
        <f>IF(Info!J3, "TEM intra", "ETM intra")</f>
        <v>ETM intra</v>
      </c>
      <c r="N41" s="304"/>
      <c r="O41" s="298" t="s">
        <v>24</v>
      </c>
      <c r="Q41" s="300" t="str">
        <f>IF(Info!J3, "% TEM intra (target)", "% ETM intra (objetivo)")</f>
        <v>% ETM intra (objetivo)</v>
      </c>
      <c r="R41" s="301"/>
    </row>
    <row r="42" spans="1:39" s="17" customFormat="1" ht="13.5" thickBot="1" x14ac:dyDescent="0.25">
      <c r="D42" s="126" t="str">
        <f>IF(Info!J3, "betw", "entre")</f>
        <v>entre</v>
      </c>
      <c r="E42" s="127" t="s">
        <v>23</v>
      </c>
      <c r="F42" s="128" t="s">
        <v>20</v>
      </c>
      <c r="G42" s="126" t="str">
        <f>D42</f>
        <v>entre</v>
      </c>
      <c r="H42" s="127" t="s">
        <v>23</v>
      </c>
      <c r="I42" s="128" t="s">
        <v>20</v>
      </c>
      <c r="J42" s="126" t="str">
        <f>G42</f>
        <v>entre</v>
      </c>
      <c r="K42" s="128" t="s">
        <v>23</v>
      </c>
      <c r="L42" s="129"/>
      <c r="M42" s="126" t="str">
        <f>IF(Info!J3, "value", "valor" )</f>
        <v>valor</v>
      </c>
      <c r="N42" s="128" t="s">
        <v>21</v>
      </c>
      <c r="O42" s="299"/>
      <c r="Q42" s="130" t="str">
        <f>IF(Info!J3, "Level 1", "Nivel 1")</f>
        <v>Nivel 1</v>
      </c>
      <c r="R42" s="131" t="str">
        <f>IF(Info!J3, "Level 2, 3, 4", "Nivel 2, 3, 4")</f>
        <v>Nivel 2, 3, 4</v>
      </c>
    </row>
    <row r="43" spans="1:39" ht="13.5" thickBot="1" x14ac:dyDescent="0.25">
      <c r="B43" s="125"/>
      <c r="C43" s="124"/>
      <c r="D43" s="163"/>
      <c r="E43" s="163"/>
      <c r="F43" s="163"/>
      <c r="G43" s="163"/>
      <c r="H43" s="163"/>
      <c r="I43" s="163"/>
      <c r="J43" s="163"/>
      <c r="K43" s="163"/>
      <c r="L43" s="163"/>
      <c r="M43" s="163"/>
      <c r="N43" s="163"/>
      <c r="O43" s="163"/>
    </row>
    <row r="44" spans="1:39" x14ac:dyDescent="0.2">
      <c r="B44" s="132">
        <f>'Calculation TEM-ETM'!B83</f>
        <v>1</v>
      </c>
      <c r="C44" s="164" t="str">
        <f>'Calculation TEM-ETM'!C83</f>
        <v>Masa Corporal ®</v>
      </c>
      <c r="D44" s="133">
        <f>20-1</f>
        <v>19</v>
      </c>
      <c r="E44" s="134">
        <f>F44-D44</f>
        <v>20</v>
      </c>
      <c r="F44" s="135">
        <f>20*2-1</f>
        <v>39</v>
      </c>
      <c r="G44" s="136">
        <f>'Calculation TEM-ETM'!Y57/2-'Calculation TEM-ETM'!AA57/(20*2)</f>
        <v>37156.370999999999</v>
      </c>
      <c r="H44" s="137">
        <f>I44-G44</f>
        <v>0</v>
      </c>
      <c r="I44" s="138">
        <f>'Calculation TEM-ETM'!AS83-'Calculation TEM-ETM'!AA57/(20*2)</f>
        <v>37156.370999999999</v>
      </c>
      <c r="J44" s="136">
        <f>G44/D44</f>
        <v>1955.5984736842104</v>
      </c>
      <c r="K44" s="138">
        <f>H44/E44</f>
        <v>0</v>
      </c>
      <c r="L44" s="165"/>
      <c r="M44" s="139">
        <f>SQRT(K44)</f>
        <v>0</v>
      </c>
      <c r="N44" s="140">
        <f>IFERROR(100*M44/'Calculation TEM-ETM'!AE31, 0)</f>
        <v>0</v>
      </c>
      <c r="O44" s="141">
        <f>IFERROR((J44-K44)/(J44+(2-1)*K44), 0)</f>
        <v>1</v>
      </c>
      <c r="Q44" s="25">
        <v>1.5</v>
      </c>
      <c r="R44" s="115">
        <v>1</v>
      </c>
    </row>
    <row r="45" spans="1:39" x14ac:dyDescent="0.2">
      <c r="B45" s="142">
        <f>'Calculation TEM-ETM'!B84</f>
        <v>2</v>
      </c>
      <c r="C45" s="166" t="str">
        <f>'Calculation TEM-ETM'!C84</f>
        <v>Talla ®</v>
      </c>
      <c r="D45" s="143">
        <f t="shared" ref="D45:D64" si="0">20-1</f>
        <v>19</v>
      </c>
      <c r="E45" s="144">
        <f t="shared" ref="E45:E64" si="1">F45-D45</f>
        <v>20</v>
      </c>
      <c r="F45" s="145">
        <f t="shared" ref="F45:F64" si="2">20*2-1</f>
        <v>39</v>
      </c>
      <c r="G45" s="146">
        <f>'Calculation TEM-ETM'!Y58/2-'Calculation TEM-ETM'!AA58/(20*2)</f>
        <v>159372</v>
      </c>
      <c r="H45" s="147">
        <f t="shared" ref="H45:H64" si="3">I45-G45</f>
        <v>0</v>
      </c>
      <c r="I45" s="148">
        <f>'Calculation TEM-ETM'!AS84-'Calculation TEM-ETM'!AA58/(20*2)</f>
        <v>159372</v>
      </c>
      <c r="J45" s="146">
        <f t="shared" ref="J45:J61" si="4">G45/D45</f>
        <v>8388</v>
      </c>
      <c r="K45" s="148">
        <f>H45/E45</f>
        <v>0</v>
      </c>
      <c r="L45" s="165"/>
      <c r="M45" s="149">
        <f>SQRT(K45)</f>
        <v>0</v>
      </c>
      <c r="N45" s="150">
        <f>IFERROR(100*M45/'Calculation TEM-ETM'!AE32, 0)</f>
        <v>0</v>
      </c>
      <c r="O45" s="151">
        <f t="shared" ref="O45:O64" si="5">IFERROR((J45-K45)/(J45+(2-1)*K45), 0)</f>
        <v>1</v>
      </c>
      <c r="Q45" s="26">
        <v>1.5</v>
      </c>
      <c r="R45" s="117">
        <v>1</v>
      </c>
    </row>
    <row r="46" spans="1:39" x14ac:dyDescent="0.2">
      <c r="B46" s="142">
        <f>'Calculation TEM-ETM'!B85</f>
        <v>3</v>
      </c>
      <c r="C46" s="166" t="str">
        <f>'Calculation TEM-ETM'!C85</f>
        <v>Talla Sentado ®</v>
      </c>
      <c r="D46" s="143">
        <f t="shared" si="0"/>
        <v>19</v>
      </c>
      <c r="E46" s="144">
        <f t="shared" si="1"/>
        <v>20</v>
      </c>
      <c r="F46" s="145">
        <f t="shared" si="2"/>
        <v>39</v>
      </c>
      <c r="G46" s="146" t="e">
        <f>'Calculation TEM-ETM'!Y59/2-'Calculation TEM-ETM'!AA59/(20*2)</f>
        <v>#VALUE!</v>
      </c>
      <c r="H46" s="147" t="e">
        <f t="shared" si="3"/>
        <v>#VALUE!</v>
      </c>
      <c r="I46" s="148" t="e">
        <f>'Calculation TEM-ETM'!AS85-'Calculation TEM-ETM'!AA59/(20*2)</f>
        <v>#VALUE!</v>
      </c>
      <c r="J46" s="146" t="e">
        <f t="shared" si="4"/>
        <v>#VALUE!</v>
      </c>
      <c r="K46" s="148" t="e">
        <f t="shared" ref="K46:K61" si="6">H46/E46</f>
        <v>#VALUE!</v>
      </c>
      <c r="L46" s="165"/>
      <c r="M46" s="149" t="e">
        <f t="shared" ref="M46:M61" si="7">SQRT(K46)</f>
        <v>#VALUE!</v>
      </c>
      <c r="N46" s="150">
        <f>IFERROR(100*M46/'Calculation TEM-ETM'!AE33, 0)</f>
        <v>0</v>
      </c>
      <c r="O46" s="151">
        <f t="shared" si="5"/>
        <v>0</v>
      </c>
      <c r="Q46" s="26">
        <v>1.5</v>
      </c>
      <c r="R46" s="117">
        <v>1</v>
      </c>
    </row>
    <row r="47" spans="1:39" x14ac:dyDescent="0.2">
      <c r="B47" s="142">
        <f>'Calculation TEM-ETM'!B86</f>
        <v>4</v>
      </c>
      <c r="C47" s="166" t="str">
        <f>'Calculation TEM-ETM'!C86</f>
        <v>Envergadura de Brazos ®</v>
      </c>
      <c r="D47" s="143">
        <f t="shared" si="0"/>
        <v>19</v>
      </c>
      <c r="E47" s="144">
        <f t="shared" si="1"/>
        <v>20</v>
      </c>
      <c r="F47" s="145">
        <f t="shared" si="2"/>
        <v>39</v>
      </c>
      <c r="G47" s="146" t="e">
        <f>'Calculation TEM-ETM'!Y60/2-'Calculation TEM-ETM'!AA60/(20*2)</f>
        <v>#VALUE!</v>
      </c>
      <c r="H47" s="147" t="e">
        <f t="shared" si="3"/>
        <v>#VALUE!</v>
      </c>
      <c r="I47" s="148" t="e">
        <f>'Calculation TEM-ETM'!AS86-'Calculation TEM-ETM'!AA60/(20*2)</f>
        <v>#VALUE!</v>
      </c>
      <c r="J47" s="146" t="e">
        <f t="shared" si="4"/>
        <v>#VALUE!</v>
      </c>
      <c r="K47" s="148" t="e">
        <f t="shared" si="6"/>
        <v>#VALUE!</v>
      </c>
      <c r="L47" s="165"/>
      <c r="M47" s="149" t="e">
        <f t="shared" si="7"/>
        <v>#VALUE!</v>
      </c>
      <c r="N47" s="150">
        <f>IFERROR(100*M47/'Calculation TEM-ETM'!AE34, 0)</f>
        <v>0</v>
      </c>
      <c r="O47" s="151">
        <f t="shared" si="5"/>
        <v>0</v>
      </c>
      <c r="Q47" s="26">
        <v>1.5</v>
      </c>
      <c r="R47" s="117">
        <v>1</v>
      </c>
    </row>
    <row r="48" spans="1:39" x14ac:dyDescent="0.2">
      <c r="B48" s="142">
        <f>'Calculation TEM-ETM'!B87</f>
        <v>5</v>
      </c>
      <c r="C48" s="166" t="str">
        <f>'Calculation TEM-ETM'!C87</f>
        <v>PL Tríceps ®</v>
      </c>
      <c r="D48" s="143">
        <f t="shared" si="0"/>
        <v>19</v>
      </c>
      <c r="E48" s="144">
        <f t="shared" si="1"/>
        <v>20</v>
      </c>
      <c r="F48" s="145">
        <f t="shared" si="2"/>
        <v>39</v>
      </c>
      <c r="G48" s="146">
        <f>'Calculation TEM-ETM'!Y61/2-'Calculation TEM-ETM'!AA61/(20*2)</f>
        <v>5885.4750000000004</v>
      </c>
      <c r="H48" s="147">
        <f t="shared" si="3"/>
        <v>1.5</v>
      </c>
      <c r="I48" s="148">
        <f>'Calculation TEM-ETM'!AS87-'Calculation TEM-ETM'!AA61/(20*2)</f>
        <v>5886.9750000000004</v>
      </c>
      <c r="J48" s="146">
        <f t="shared" si="4"/>
        <v>309.76184210526316</v>
      </c>
      <c r="K48" s="148">
        <f t="shared" si="6"/>
        <v>7.4999999999999997E-2</v>
      </c>
      <c r="L48" s="165"/>
      <c r="M48" s="149">
        <f t="shared" si="7"/>
        <v>0.27386127875258304</v>
      </c>
      <c r="N48" s="150">
        <f>IFERROR(100*M48/'Calculation TEM-ETM'!AE35, 0)</f>
        <v>4.742186645066373</v>
      </c>
      <c r="O48" s="151">
        <f t="shared" si="5"/>
        <v>0.99951587422922084</v>
      </c>
      <c r="Q48" s="26">
        <v>7.5</v>
      </c>
      <c r="R48" s="117">
        <v>5</v>
      </c>
    </row>
    <row r="49" spans="2:18" x14ac:dyDescent="0.2">
      <c r="B49" s="142">
        <f>'Calculation TEM-ETM'!B88</f>
        <v>6</v>
      </c>
      <c r="C49" s="166" t="str">
        <f>'Calculation TEM-ETM'!C88</f>
        <v>PL Subescapular ®</v>
      </c>
      <c r="D49" s="143">
        <f t="shared" si="0"/>
        <v>19</v>
      </c>
      <c r="E49" s="144">
        <f t="shared" si="1"/>
        <v>20</v>
      </c>
      <c r="F49" s="145">
        <f t="shared" si="2"/>
        <v>39</v>
      </c>
      <c r="G49" s="146">
        <f>'Calculation TEM-ETM'!Y62/2-'Calculation TEM-ETM'!AA62/(20*2)</f>
        <v>10291.275</v>
      </c>
      <c r="H49" s="147">
        <f t="shared" si="3"/>
        <v>6.5</v>
      </c>
      <c r="I49" s="148">
        <f>'Calculation TEM-ETM'!AS88-'Calculation TEM-ETM'!AA62/(20*2)</f>
        <v>10297.775</v>
      </c>
      <c r="J49" s="146">
        <f t="shared" si="4"/>
        <v>541.64605263157898</v>
      </c>
      <c r="K49" s="148">
        <f t="shared" si="6"/>
        <v>0.32500000000000001</v>
      </c>
      <c r="L49" s="165"/>
      <c r="M49" s="149">
        <f t="shared" si="7"/>
        <v>0.57008771254956903</v>
      </c>
      <c r="N49" s="150">
        <f>IFERROR(100*M49/'Calculation TEM-ETM'!AE36, 0)</f>
        <v>8.872960506608079</v>
      </c>
      <c r="O49" s="151">
        <f t="shared" si="5"/>
        <v>0.99880067395326011</v>
      </c>
      <c r="Q49" s="26">
        <v>7.5</v>
      </c>
      <c r="R49" s="117">
        <v>5</v>
      </c>
    </row>
    <row r="50" spans="2:18" x14ac:dyDescent="0.2">
      <c r="B50" s="142">
        <f>'Calculation TEM-ETM'!B89</f>
        <v>7</v>
      </c>
      <c r="C50" s="166" t="str">
        <f>'Calculation TEM-ETM'!C89</f>
        <v>PL Bíceps ®</v>
      </c>
      <c r="D50" s="143">
        <f t="shared" si="0"/>
        <v>19</v>
      </c>
      <c r="E50" s="144">
        <f t="shared" si="1"/>
        <v>20</v>
      </c>
      <c r="F50" s="145">
        <f t="shared" si="2"/>
        <v>39</v>
      </c>
      <c r="G50" s="146">
        <f>'Calculation TEM-ETM'!Y63/2-'Calculation TEM-ETM'!AA63/(20*2)</f>
        <v>1411.5</v>
      </c>
      <c r="H50" s="147">
        <f t="shared" si="3"/>
        <v>2</v>
      </c>
      <c r="I50" s="148">
        <f>'Calculation TEM-ETM'!AS89-'Calculation TEM-ETM'!AA63/(20*2)</f>
        <v>1413.5</v>
      </c>
      <c r="J50" s="146">
        <f t="shared" si="4"/>
        <v>74.28947368421052</v>
      </c>
      <c r="K50" s="148">
        <f t="shared" si="6"/>
        <v>0.1</v>
      </c>
      <c r="L50" s="165"/>
      <c r="M50" s="149">
        <f t="shared" si="7"/>
        <v>0.31622776601683794</v>
      </c>
      <c r="N50" s="150">
        <f>IFERROR(100*M50/'Calculation TEM-ETM'!AE37, 0)</f>
        <v>11.49919149152138</v>
      </c>
      <c r="O50" s="151">
        <f t="shared" si="5"/>
        <v>0.99731144757322787</v>
      </c>
      <c r="Q50" s="26">
        <v>7.5</v>
      </c>
      <c r="R50" s="117">
        <v>5</v>
      </c>
    </row>
    <row r="51" spans="2:18" x14ac:dyDescent="0.2">
      <c r="B51" s="142">
        <f>'Calculation TEM-ETM'!B90</f>
        <v>8</v>
      </c>
      <c r="C51" s="166" t="str">
        <f>'Calculation TEM-ETM'!C90</f>
        <v>PL Cresta Ilíaca ®</v>
      </c>
      <c r="D51" s="143">
        <f t="shared" si="0"/>
        <v>19</v>
      </c>
      <c r="E51" s="144">
        <f t="shared" si="1"/>
        <v>20</v>
      </c>
      <c r="F51" s="145">
        <f t="shared" si="2"/>
        <v>39</v>
      </c>
      <c r="G51" s="146">
        <f>'Calculation TEM-ETM'!Y64/2-'Calculation TEM-ETM'!AA64/(20*2)</f>
        <v>5848.1</v>
      </c>
      <c r="H51" s="147">
        <f t="shared" si="3"/>
        <v>1</v>
      </c>
      <c r="I51" s="148">
        <f>'Calculation TEM-ETM'!AS90-'Calculation TEM-ETM'!AA64/(20*2)</f>
        <v>5849.1</v>
      </c>
      <c r="J51" s="146">
        <f t="shared" si="4"/>
        <v>307.79473684210529</v>
      </c>
      <c r="K51" s="148">
        <f t="shared" si="6"/>
        <v>0.05</v>
      </c>
      <c r="L51" s="165"/>
      <c r="M51" s="149">
        <f t="shared" si="7"/>
        <v>0.22360679774997896</v>
      </c>
      <c r="N51" s="150">
        <f>IFERROR(100*M51/'Calculation TEM-ETM'!AE38, 0)</f>
        <v>4.3418795679607562</v>
      </c>
      <c r="O51" s="151">
        <f t="shared" si="5"/>
        <v>0.99967516092356867</v>
      </c>
      <c r="Q51" s="26">
        <v>7.5</v>
      </c>
      <c r="R51" s="117">
        <v>5</v>
      </c>
    </row>
    <row r="52" spans="2:18" x14ac:dyDescent="0.2">
      <c r="B52" s="142">
        <f>'Calculation TEM-ETM'!B91</f>
        <v>9</v>
      </c>
      <c r="C52" s="166" t="str">
        <f>'Calculation TEM-ETM'!C91</f>
        <v>PL Supraespinal ®</v>
      </c>
      <c r="D52" s="143">
        <f t="shared" si="0"/>
        <v>19</v>
      </c>
      <c r="E52" s="144">
        <f t="shared" si="1"/>
        <v>20</v>
      </c>
      <c r="F52" s="145">
        <f t="shared" si="2"/>
        <v>39</v>
      </c>
      <c r="G52" s="146">
        <f>'Calculation TEM-ETM'!Y65/2-'Calculation TEM-ETM'!AA65/(20*2)</f>
        <v>5753.4750000000004</v>
      </c>
      <c r="H52" s="147">
        <f t="shared" si="3"/>
        <v>7.5</v>
      </c>
      <c r="I52" s="148">
        <f>'Calculation TEM-ETM'!AS91-'Calculation TEM-ETM'!AA65/(20*2)</f>
        <v>5760.9750000000004</v>
      </c>
      <c r="J52" s="146">
        <f t="shared" si="4"/>
        <v>302.81447368421055</v>
      </c>
      <c r="K52" s="148">
        <f t="shared" si="6"/>
        <v>0.375</v>
      </c>
      <c r="L52" s="165"/>
      <c r="M52" s="149">
        <f t="shared" si="7"/>
        <v>0.61237243569579447</v>
      </c>
      <c r="N52" s="150">
        <f>IFERROR(100*M52/'Calculation TEM-ETM'!AE39, 0)</f>
        <v>12.308993682327529</v>
      </c>
      <c r="O52" s="151">
        <f t="shared" si="5"/>
        <v>0.99752629934381831</v>
      </c>
      <c r="Q52" s="26">
        <v>7.5</v>
      </c>
      <c r="R52" s="117">
        <v>5</v>
      </c>
    </row>
    <row r="53" spans="2:18" x14ac:dyDescent="0.2">
      <c r="B53" s="142">
        <f>'Calculation TEM-ETM'!B92</f>
        <v>10</v>
      </c>
      <c r="C53" s="166" t="str">
        <f>'Calculation TEM-ETM'!C92</f>
        <v>PL Abdominal ®</v>
      </c>
      <c r="D53" s="143">
        <f t="shared" si="0"/>
        <v>19</v>
      </c>
      <c r="E53" s="144">
        <f t="shared" si="1"/>
        <v>20</v>
      </c>
      <c r="F53" s="145">
        <f t="shared" si="2"/>
        <v>39</v>
      </c>
      <c r="G53" s="146">
        <f>'Calculation TEM-ETM'!Y66/2-'Calculation TEM-ETM'!AA66/(20*2)</f>
        <v>13819.5</v>
      </c>
      <c r="H53" s="147">
        <f t="shared" si="3"/>
        <v>0</v>
      </c>
      <c r="I53" s="148">
        <f>'Calculation TEM-ETM'!AS92-'Calculation TEM-ETM'!AA66/(20*2)</f>
        <v>13819.5</v>
      </c>
      <c r="J53" s="146">
        <f t="shared" si="4"/>
        <v>727.34210526315792</v>
      </c>
      <c r="K53" s="148">
        <f t="shared" si="6"/>
        <v>0</v>
      </c>
      <c r="L53" s="165"/>
      <c r="M53" s="149">
        <f t="shared" si="7"/>
        <v>0</v>
      </c>
      <c r="N53" s="150">
        <f>IFERROR(100*M53/'Calculation TEM-ETM'!AE40, 0)</f>
        <v>0</v>
      </c>
      <c r="O53" s="151">
        <f t="shared" si="5"/>
        <v>1</v>
      </c>
      <c r="Q53" s="26">
        <v>7.5</v>
      </c>
      <c r="R53" s="117">
        <v>5</v>
      </c>
    </row>
    <row r="54" spans="2:18" x14ac:dyDescent="0.2">
      <c r="B54" s="142">
        <f>'Calculation TEM-ETM'!B93</f>
        <v>11</v>
      </c>
      <c r="C54" s="166" t="str">
        <f>'Calculation TEM-ETM'!C93</f>
        <v>PL Muslo ®</v>
      </c>
      <c r="D54" s="143">
        <f t="shared" si="0"/>
        <v>19</v>
      </c>
      <c r="E54" s="144">
        <f t="shared" si="1"/>
        <v>20</v>
      </c>
      <c r="F54" s="145">
        <f t="shared" si="2"/>
        <v>39</v>
      </c>
      <c r="G54" s="146">
        <f>'Calculation TEM-ETM'!Y67/2-'Calculation TEM-ETM'!AA67/(20*2)</f>
        <v>13225.9</v>
      </c>
      <c r="H54" s="147">
        <f t="shared" si="3"/>
        <v>6</v>
      </c>
      <c r="I54" s="148">
        <f>'Calculation TEM-ETM'!AS93-'Calculation TEM-ETM'!AA67/(20*2)</f>
        <v>13231.9</v>
      </c>
      <c r="J54" s="146">
        <f t="shared" si="4"/>
        <v>696.1</v>
      </c>
      <c r="K54" s="148">
        <f t="shared" si="6"/>
        <v>0.3</v>
      </c>
      <c r="L54" s="165"/>
      <c r="M54" s="149">
        <f t="shared" si="7"/>
        <v>0.54772255750516607</v>
      </c>
      <c r="N54" s="150">
        <f>IFERROR(100*M54/'Calculation TEM-ETM'!AE41, 0)</f>
        <v>6.8895919183039753</v>
      </c>
      <c r="O54" s="151">
        <f t="shared" si="5"/>
        <v>0.9991384261918439</v>
      </c>
      <c r="Q54" s="26">
        <v>7.5</v>
      </c>
      <c r="R54" s="117">
        <v>5</v>
      </c>
    </row>
    <row r="55" spans="2:18" x14ac:dyDescent="0.2">
      <c r="B55" s="142">
        <f>'Calculation TEM-ETM'!B94</f>
        <v>12</v>
      </c>
      <c r="C55" s="166" t="str">
        <f>'Calculation TEM-ETM'!C94</f>
        <v>PL Pierna ®</v>
      </c>
      <c r="D55" s="143">
        <f t="shared" si="0"/>
        <v>19</v>
      </c>
      <c r="E55" s="144">
        <f t="shared" si="1"/>
        <v>20</v>
      </c>
      <c r="F55" s="145">
        <f t="shared" si="2"/>
        <v>39</v>
      </c>
      <c r="G55" s="146">
        <f>'Calculation TEM-ETM'!Y68/2-'Calculation TEM-ETM'!AA68/(20*2)</f>
        <v>7386.4750000000004</v>
      </c>
      <c r="H55" s="147">
        <f t="shared" si="3"/>
        <v>8.5</v>
      </c>
      <c r="I55" s="148">
        <f>'Calculation TEM-ETM'!AS94-'Calculation TEM-ETM'!AA68/(20*2)</f>
        <v>7394.9750000000004</v>
      </c>
      <c r="J55" s="146">
        <f t="shared" si="4"/>
        <v>388.76184210526316</v>
      </c>
      <c r="K55" s="148">
        <f t="shared" si="6"/>
        <v>0.42499999999999999</v>
      </c>
      <c r="L55" s="165"/>
      <c r="M55" s="149">
        <f t="shared" si="7"/>
        <v>0.65192024052026487</v>
      </c>
      <c r="N55" s="150">
        <f>IFERROR(100*M55/'Calculation TEM-ETM'!AE42, 0)</f>
        <v>11.288662173511078</v>
      </c>
      <c r="O55" s="151">
        <f t="shared" si="5"/>
        <v>0.99781595905092257</v>
      </c>
      <c r="Q55" s="26">
        <v>7.5</v>
      </c>
      <c r="R55" s="117">
        <v>5</v>
      </c>
    </row>
    <row r="56" spans="2:18" x14ac:dyDescent="0.2">
      <c r="B56" s="142">
        <f>'Calculation TEM-ETM'!B95</f>
        <v>13</v>
      </c>
      <c r="C56" s="166" t="str">
        <f>'Calculation TEM-ETM'!C95</f>
        <v>PR Brazo Relajado ®</v>
      </c>
      <c r="D56" s="143">
        <f t="shared" si="0"/>
        <v>19</v>
      </c>
      <c r="E56" s="144">
        <f t="shared" si="1"/>
        <v>20</v>
      </c>
      <c r="F56" s="145">
        <f t="shared" si="2"/>
        <v>39</v>
      </c>
      <c r="G56" s="146" t="e">
        <f>'Calculation TEM-ETM'!Y69/2-'Calculation TEM-ETM'!AA69/(20*2)</f>
        <v>#VALUE!</v>
      </c>
      <c r="H56" s="147" t="e">
        <f t="shared" si="3"/>
        <v>#VALUE!</v>
      </c>
      <c r="I56" s="148" t="e">
        <f>'Calculation TEM-ETM'!AS95-'Calculation TEM-ETM'!AA69/(20*2)</f>
        <v>#VALUE!</v>
      </c>
      <c r="J56" s="146" t="e">
        <f t="shared" si="4"/>
        <v>#VALUE!</v>
      </c>
      <c r="K56" s="148" t="e">
        <f t="shared" si="6"/>
        <v>#VALUE!</v>
      </c>
      <c r="L56" s="165"/>
      <c r="M56" s="149" t="e">
        <f t="shared" si="7"/>
        <v>#VALUE!</v>
      </c>
      <c r="N56" s="150">
        <f>IFERROR(100*M56/'Calculation TEM-ETM'!AE43, 0)</f>
        <v>0</v>
      </c>
      <c r="O56" s="151">
        <f t="shared" si="5"/>
        <v>0</v>
      </c>
      <c r="Q56" s="26">
        <v>1.5</v>
      </c>
      <c r="R56" s="117">
        <v>1</v>
      </c>
    </row>
    <row r="57" spans="2:18" x14ac:dyDescent="0.2">
      <c r="B57" s="142">
        <f>'Calculation TEM-ETM'!B96</f>
        <v>14</v>
      </c>
      <c r="C57" s="166" t="str">
        <f>'Calculation TEM-ETM'!C96</f>
        <v>PR Brazo Flexionado y Contraído ®</v>
      </c>
      <c r="D57" s="143">
        <f t="shared" si="0"/>
        <v>19</v>
      </c>
      <c r="E57" s="144">
        <f t="shared" si="1"/>
        <v>20</v>
      </c>
      <c r="F57" s="145">
        <f t="shared" si="2"/>
        <v>39</v>
      </c>
      <c r="G57" s="146">
        <f>'Calculation TEM-ETM'!Y70/2-'Calculation TEM-ETM'!AA70/(20*2)</f>
        <v>6233.1</v>
      </c>
      <c r="H57" s="147">
        <f t="shared" si="3"/>
        <v>0</v>
      </c>
      <c r="I57" s="148">
        <f>'Calculation TEM-ETM'!AS96-'Calculation TEM-ETM'!AA70/(20*2)</f>
        <v>6233.1</v>
      </c>
      <c r="J57" s="146">
        <f t="shared" si="4"/>
        <v>328.05789473684212</v>
      </c>
      <c r="K57" s="148">
        <f t="shared" si="6"/>
        <v>0</v>
      </c>
      <c r="L57" s="165"/>
      <c r="M57" s="149">
        <f t="shared" si="7"/>
        <v>0</v>
      </c>
      <c r="N57" s="150">
        <f>IFERROR(100*M57/'Calculation TEM-ETM'!AE44, 0)</f>
        <v>0</v>
      </c>
      <c r="O57" s="151">
        <f t="shared" si="5"/>
        <v>1</v>
      </c>
      <c r="Q57" s="26">
        <v>1.5</v>
      </c>
      <c r="R57" s="117">
        <v>1</v>
      </c>
    </row>
    <row r="58" spans="2:18" x14ac:dyDescent="0.2">
      <c r="B58" s="142">
        <f>'Calculation TEM-ETM'!B97</f>
        <v>15</v>
      </c>
      <c r="C58" s="166" t="str">
        <f>'Calculation TEM-ETM'!C97</f>
        <v>PR Cintura ®</v>
      </c>
      <c r="D58" s="143">
        <f t="shared" si="0"/>
        <v>19</v>
      </c>
      <c r="E58" s="144">
        <f t="shared" si="1"/>
        <v>20</v>
      </c>
      <c r="F58" s="145">
        <f t="shared" si="2"/>
        <v>39</v>
      </c>
      <c r="G58" s="146" t="e">
        <f>'Calculation TEM-ETM'!Y71/2-'Calculation TEM-ETM'!AA71/(20*2)</f>
        <v>#VALUE!</v>
      </c>
      <c r="H58" s="147" t="e">
        <f t="shared" si="3"/>
        <v>#VALUE!</v>
      </c>
      <c r="I58" s="148" t="e">
        <f>'Calculation TEM-ETM'!AS97-'Calculation TEM-ETM'!AA71/(20*2)</f>
        <v>#VALUE!</v>
      </c>
      <c r="J58" s="146" t="e">
        <f t="shared" si="4"/>
        <v>#VALUE!</v>
      </c>
      <c r="K58" s="148" t="e">
        <f t="shared" si="6"/>
        <v>#VALUE!</v>
      </c>
      <c r="L58" s="165"/>
      <c r="M58" s="149" t="e">
        <f t="shared" si="7"/>
        <v>#VALUE!</v>
      </c>
      <c r="N58" s="150">
        <f>IFERROR(100*M58/'Calculation TEM-ETM'!AE45, 0)</f>
        <v>0</v>
      </c>
      <c r="O58" s="151">
        <f t="shared" si="5"/>
        <v>0</v>
      </c>
      <c r="Q58" s="26">
        <v>1.5</v>
      </c>
      <c r="R58" s="117">
        <v>1</v>
      </c>
    </row>
    <row r="59" spans="2:18" x14ac:dyDescent="0.2">
      <c r="B59" s="142">
        <f>'Calculation TEM-ETM'!B98</f>
        <v>16</v>
      </c>
      <c r="C59" s="166" t="str">
        <f>'Calculation TEM-ETM'!C98</f>
        <v>PR Caderas ®</v>
      </c>
      <c r="D59" s="143">
        <f t="shared" si="0"/>
        <v>19</v>
      </c>
      <c r="E59" s="144">
        <f t="shared" si="1"/>
        <v>20</v>
      </c>
      <c r="F59" s="145">
        <f t="shared" si="2"/>
        <v>39</v>
      </c>
      <c r="G59" s="146" t="e">
        <f>'Calculation TEM-ETM'!Y72/2-'Calculation TEM-ETM'!AA72/(20*2)</f>
        <v>#VALUE!</v>
      </c>
      <c r="H59" s="147" t="e">
        <f t="shared" si="3"/>
        <v>#VALUE!</v>
      </c>
      <c r="I59" s="148" t="e">
        <f>'Calculation TEM-ETM'!AS98-'Calculation TEM-ETM'!AA72/(20*2)</f>
        <v>#VALUE!</v>
      </c>
      <c r="J59" s="146" t="e">
        <f t="shared" si="4"/>
        <v>#VALUE!</v>
      </c>
      <c r="K59" s="148" t="e">
        <f t="shared" si="6"/>
        <v>#VALUE!</v>
      </c>
      <c r="L59" s="165"/>
      <c r="M59" s="149" t="e">
        <f t="shared" si="7"/>
        <v>#VALUE!</v>
      </c>
      <c r="N59" s="150">
        <f>IFERROR(100*M59/'Calculation TEM-ETM'!AE46, 0)</f>
        <v>0</v>
      </c>
      <c r="O59" s="151">
        <f t="shared" si="5"/>
        <v>0</v>
      </c>
      <c r="Q59" s="26">
        <v>1.5</v>
      </c>
      <c r="R59" s="117">
        <v>1</v>
      </c>
    </row>
    <row r="60" spans="2:18" x14ac:dyDescent="0.2">
      <c r="B60" s="142">
        <f>'Calculation TEM-ETM'!B99</f>
        <v>17</v>
      </c>
      <c r="C60" s="166" t="str">
        <f>'Calculation TEM-ETM'!C99</f>
        <v>PR Muslo Medio ®</v>
      </c>
      <c r="D60" s="143">
        <f t="shared" si="0"/>
        <v>19</v>
      </c>
      <c r="E60" s="144">
        <f t="shared" si="1"/>
        <v>20</v>
      </c>
      <c r="F60" s="145">
        <f t="shared" si="2"/>
        <v>39</v>
      </c>
      <c r="G60" s="146" t="e">
        <f>'Calculation TEM-ETM'!Y73/2-'Calculation TEM-ETM'!AA73/(20*2)</f>
        <v>#VALUE!</v>
      </c>
      <c r="H60" s="147" t="e">
        <f t="shared" si="3"/>
        <v>#VALUE!</v>
      </c>
      <c r="I60" s="148" t="e">
        <f>'Calculation TEM-ETM'!AS99-'Calculation TEM-ETM'!AA73/(20*2)</f>
        <v>#VALUE!</v>
      </c>
      <c r="J60" s="146" t="e">
        <f t="shared" si="4"/>
        <v>#VALUE!</v>
      </c>
      <c r="K60" s="148" t="e">
        <f t="shared" si="6"/>
        <v>#VALUE!</v>
      </c>
      <c r="L60" s="165"/>
      <c r="M60" s="149" t="e">
        <f t="shared" si="7"/>
        <v>#VALUE!</v>
      </c>
      <c r="N60" s="150">
        <f>IFERROR(100*M60/'Calculation TEM-ETM'!AE47, 0)</f>
        <v>0</v>
      </c>
      <c r="O60" s="151">
        <f t="shared" si="5"/>
        <v>0</v>
      </c>
      <c r="Q60" s="26">
        <v>1.5</v>
      </c>
      <c r="R60" s="117">
        <v>1</v>
      </c>
    </row>
    <row r="61" spans="2:18" x14ac:dyDescent="0.2">
      <c r="B61" s="142">
        <f>'Calculation TEM-ETM'!B100</f>
        <v>18</v>
      </c>
      <c r="C61" s="166" t="str">
        <f>'Calculation TEM-ETM'!C100</f>
        <v>PR Pierna ®</v>
      </c>
      <c r="D61" s="143">
        <f t="shared" si="0"/>
        <v>19</v>
      </c>
      <c r="E61" s="144">
        <f t="shared" si="1"/>
        <v>20</v>
      </c>
      <c r="F61" s="145">
        <f t="shared" si="2"/>
        <v>39</v>
      </c>
      <c r="G61" s="146" t="e">
        <f>'Calculation TEM-ETM'!Y74/2-'Calculation TEM-ETM'!AA74/(20*2)</f>
        <v>#VALUE!</v>
      </c>
      <c r="H61" s="147" t="e">
        <f t="shared" si="3"/>
        <v>#VALUE!</v>
      </c>
      <c r="I61" s="148" t="e">
        <f>'Calculation TEM-ETM'!AS100-'Calculation TEM-ETM'!AA74/(20*2)</f>
        <v>#VALUE!</v>
      </c>
      <c r="J61" s="146" t="e">
        <f t="shared" si="4"/>
        <v>#VALUE!</v>
      </c>
      <c r="K61" s="148" t="e">
        <f t="shared" si="6"/>
        <v>#VALUE!</v>
      </c>
      <c r="L61" s="165"/>
      <c r="M61" s="149" t="e">
        <f t="shared" si="7"/>
        <v>#VALUE!</v>
      </c>
      <c r="N61" s="150">
        <f>IFERROR(100*M61/'Calculation TEM-ETM'!AE48, 0)</f>
        <v>0</v>
      </c>
      <c r="O61" s="151">
        <f t="shared" si="5"/>
        <v>0</v>
      </c>
      <c r="Q61" s="26">
        <v>1.5</v>
      </c>
      <c r="R61" s="117">
        <v>1</v>
      </c>
    </row>
    <row r="62" spans="2:18" x14ac:dyDescent="0.2">
      <c r="B62" s="142">
        <f>'Calculation TEM-ETM'!B101</f>
        <v>19</v>
      </c>
      <c r="C62" s="166" t="str">
        <f>'Calculation TEM-ETM'!C101</f>
        <v>D Húmero ®</v>
      </c>
      <c r="D62" s="143">
        <f t="shared" si="0"/>
        <v>19</v>
      </c>
      <c r="E62" s="144">
        <f t="shared" si="1"/>
        <v>20</v>
      </c>
      <c r="F62" s="145">
        <f t="shared" si="2"/>
        <v>39</v>
      </c>
      <c r="G62" s="146" t="e">
        <f>'Calculation TEM-ETM'!Y75/2-'Calculation TEM-ETM'!AA75/(20*2)</f>
        <v>#VALUE!</v>
      </c>
      <c r="H62" s="147" t="e">
        <f t="shared" si="3"/>
        <v>#VALUE!</v>
      </c>
      <c r="I62" s="148" t="e">
        <f>'Calculation TEM-ETM'!AS101-'Calculation TEM-ETM'!AA75/(20*2)</f>
        <v>#VALUE!</v>
      </c>
      <c r="J62" s="146" t="e">
        <f t="shared" ref="J62:J64" si="8">G62/D62</f>
        <v>#VALUE!</v>
      </c>
      <c r="K62" s="148" t="e">
        <f t="shared" ref="K62:K64" si="9">H62/E62</f>
        <v>#VALUE!</v>
      </c>
      <c r="L62" s="165"/>
      <c r="M62" s="149" t="e">
        <f t="shared" ref="M62:M64" si="10">SQRT(K62)</f>
        <v>#VALUE!</v>
      </c>
      <c r="N62" s="150">
        <f>IFERROR(100*M62/'Calculation TEM-ETM'!AE49, 0)</f>
        <v>0</v>
      </c>
      <c r="O62" s="151">
        <f t="shared" si="5"/>
        <v>0</v>
      </c>
      <c r="Q62" s="26">
        <v>1.5</v>
      </c>
      <c r="R62" s="117">
        <v>1</v>
      </c>
    </row>
    <row r="63" spans="2:18" x14ac:dyDescent="0.2">
      <c r="B63" s="142">
        <f>'Calculation TEM-ETM'!B102</f>
        <v>20</v>
      </c>
      <c r="C63" s="166" t="str">
        <f>'Calculation TEM-ETM'!C102</f>
        <v>D Biestiloideo ®</v>
      </c>
      <c r="D63" s="143">
        <f t="shared" si="0"/>
        <v>19</v>
      </c>
      <c r="E63" s="144">
        <f t="shared" si="1"/>
        <v>20</v>
      </c>
      <c r="F63" s="145">
        <f t="shared" si="2"/>
        <v>39</v>
      </c>
      <c r="G63" s="146" t="e">
        <f>'Calculation TEM-ETM'!Y76/2-'Calculation TEM-ETM'!AA76/(20*2)</f>
        <v>#VALUE!</v>
      </c>
      <c r="H63" s="147" t="e">
        <f t="shared" si="3"/>
        <v>#VALUE!</v>
      </c>
      <c r="I63" s="148" t="e">
        <f>'Calculation TEM-ETM'!AS102-'Calculation TEM-ETM'!AA76/(20*2)</f>
        <v>#VALUE!</v>
      </c>
      <c r="J63" s="146" t="e">
        <f t="shared" si="8"/>
        <v>#VALUE!</v>
      </c>
      <c r="K63" s="148" t="e">
        <f t="shared" si="9"/>
        <v>#VALUE!</v>
      </c>
      <c r="L63" s="165"/>
      <c r="M63" s="149" t="e">
        <f t="shared" si="10"/>
        <v>#VALUE!</v>
      </c>
      <c r="N63" s="150">
        <f>IFERROR(100*M63/'Calculation TEM-ETM'!AE50, 0)</f>
        <v>0</v>
      </c>
      <c r="O63" s="151">
        <f t="shared" si="5"/>
        <v>0</v>
      </c>
      <c r="Q63" s="26">
        <v>1.5</v>
      </c>
      <c r="R63" s="117">
        <v>1</v>
      </c>
    </row>
    <row r="64" spans="2:18" ht="13.5" thickBot="1" x14ac:dyDescent="0.25">
      <c r="B64" s="152">
        <f>'Calculation TEM-ETM'!B103</f>
        <v>21</v>
      </c>
      <c r="C64" s="167" t="str">
        <f>'Calculation TEM-ETM'!C103</f>
        <v>D Fémur ®</v>
      </c>
      <c r="D64" s="153">
        <f t="shared" si="0"/>
        <v>19</v>
      </c>
      <c r="E64" s="154">
        <f t="shared" si="1"/>
        <v>20</v>
      </c>
      <c r="F64" s="155">
        <f t="shared" si="2"/>
        <v>39</v>
      </c>
      <c r="G64" s="156" t="e">
        <f>'Calculation TEM-ETM'!Y77/2-'Calculation TEM-ETM'!AA77/(20*2)</f>
        <v>#VALUE!</v>
      </c>
      <c r="H64" s="157" t="e">
        <f t="shared" si="3"/>
        <v>#VALUE!</v>
      </c>
      <c r="I64" s="158" t="e">
        <f>'Calculation TEM-ETM'!AS103-'Calculation TEM-ETM'!AA77/(20*2)</f>
        <v>#VALUE!</v>
      </c>
      <c r="J64" s="156" t="e">
        <f t="shared" si="8"/>
        <v>#VALUE!</v>
      </c>
      <c r="K64" s="158" t="e">
        <f t="shared" si="9"/>
        <v>#VALUE!</v>
      </c>
      <c r="L64" s="165"/>
      <c r="M64" s="159" t="e">
        <f t="shared" si="10"/>
        <v>#VALUE!</v>
      </c>
      <c r="N64" s="160">
        <f>IFERROR(100*M64/'Calculation TEM-ETM'!AE51, 0)</f>
        <v>0</v>
      </c>
      <c r="O64" s="161">
        <f t="shared" si="5"/>
        <v>0</v>
      </c>
      <c r="Q64" s="28">
        <v>1.5</v>
      </c>
      <c r="R64" s="170">
        <v>1</v>
      </c>
    </row>
  </sheetData>
  <sheetProtection algorithmName="SHA-512" hashValue="Zbx7/Yz5Nf9J6FfMDdqhunl29Hxf+K/GyxAijHEeM1ABwEb8NCJTFXqDVv5EHwgottnfmGgvR2SNG6Hka14gSQ==" saltValue="FV7RI5LtoZ55hMj1lL6DGg==" spinCount="100000" sheet="1" objects="1" scenarios="1" selectLockedCells="1"/>
  <mergeCells count="8">
    <mergeCell ref="B39:R39"/>
    <mergeCell ref="B1:R1"/>
    <mergeCell ref="O41:O42"/>
    <mergeCell ref="Q41:R41"/>
    <mergeCell ref="D41:F41"/>
    <mergeCell ref="G41:I41"/>
    <mergeCell ref="J41:K41"/>
    <mergeCell ref="M41:N41"/>
  </mergeCells>
  <phoneticPr fontId="7" type="noConversion"/>
  <conditionalFormatting sqref="C44:C64">
    <cfRule type="expression" dxfId="1" priority="2">
      <formula>N44&gt;Q44</formula>
    </cfRule>
  </conditionalFormatting>
  <conditionalFormatting sqref="N44:N64">
    <cfRule type="expression" dxfId="0" priority="1">
      <formula>N44&gt;Q44</formula>
    </cfRule>
  </conditionalFormatting>
  <pageMargins left="0" right="0" top="1" bottom="1" header="0.5" footer="0.5"/>
  <pageSetup paperSize="9" orientation="portrait" horizontalDpi="4294967292" verticalDpi="4294967292"/>
  <headerFooter alignWithMargins="0"/>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4"/>
  <dimension ref="A1:I27"/>
  <sheetViews>
    <sheetView showGridLines="0" zoomScaleNormal="18" workbookViewId="0">
      <selection activeCell="C3" sqref="C3"/>
    </sheetView>
  </sheetViews>
  <sheetFormatPr baseColWidth="10" defaultColWidth="8.7109375" defaultRowHeight="12.75" x14ac:dyDescent="0.2"/>
  <cols>
    <col min="1" max="1" width="3.28515625" style="50" customWidth="1"/>
    <col min="2" max="9" width="22.7109375" style="110" customWidth="1"/>
    <col min="10" max="10" width="3.28515625" style="50" customWidth="1"/>
    <col min="11" max="256" width="11.42578125" style="50" customWidth="1"/>
    <col min="257" max="16384" width="8.7109375" style="50"/>
  </cols>
  <sheetData>
    <row r="1" spans="1:9" s="15" customFormat="1" ht="23.25" x14ac:dyDescent="0.2">
      <c r="A1" s="16"/>
      <c r="B1" s="256" t="str">
        <f>IF(Info!J3, "STATISTICAL SUMARY", "RESUMEN ESTADÍSTICO")</f>
        <v>RESUMEN ESTADÍSTICO</v>
      </c>
      <c r="C1" s="256"/>
      <c r="D1" s="256"/>
      <c r="E1" s="256"/>
      <c r="F1" s="256"/>
      <c r="G1" s="256"/>
      <c r="H1" s="256"/>
      <c r="I1" s="256"/>
    </row>
    <row r="2" spans="1:9" ht="13.5" thickBot="1" x14ac:dyDescent="0.25"/>
    <row r="3" spans="1:9" ht="21" thickBot="1" x14ac:dyDescent="0.35">
      <c r="B3" s="111" t="str">
        <f>IF(Info!J3, "# Items", "Nº Items")</f>
        <v>Nº Items</v>
      </c>
      <c r="C3" s="111">
        <v>21</v>
      </c>
      <c r="D3" s="112"/>
      <c r="E3" s="112"/>
      <c r="F3" s="112"/>
      <c r="G3" s="113"/>
      <c r="H3" s="50"/>
      <c r="I3" s="50"/>
    </row>
    <row r="4" spans="1:9" ht="13.5" thickBot="1" x14ac:dyDescent="0.25">
      <c r="B4" s="113"/>
      <c r="C4" s="113"/>
      <c r="D4" s="113"/>
      <c r="E4" s="113"/>
      <c r="F4" s="113"/>
      <c r="G4" s="113"/>
      <c r="H4" s="113"/>
      <c r="I4" s="113"/>
    </row>
    <row r="5" spans="1:9" ht="13.5" thickBot="1" x14ac:dyDescent="0.25">
      <c r="B5" s="222" t="str">
        <f>IF(Info!J3, "Subject", "Sujeto")</f>
        <v>Sujeto</v>
      </c>
      <c r="C5" s="222" t="str">
        <f>IF(Info!J3, "1ª vs 2ª Same Measure", "1ª vs 2ª Medición Idéntica")</f>
        <v>1ª vs 2ª Medición Idéntica</v>
      </c>
      <c r="D5" s="222" t="str">
        <f>IF(Info!J3, "1ª vs 3ª Same Measure", "1ª vs 3ª Medición Idéntica")</f>
        <v>1ª vs 3ª Medición Idéntica</v>
      </c>
      <c r="E5" s="222" t="str">
        <f>IF(Info!J3, "2ª vs 3ª Same Measure", "2ª vs 3ª Medición Idéntica")</f>
        <v>2ª vs 3ª Medición Idéntica</v>
      </c>
      <c r="F5" s="222" t="str">
        <f>IF(Info!J3, "Nº 3rd Measures Measured", "Nº 3ª Medidas Tomadas")</f>
        <v>Nº 3ª Medidas Tomadas</v>
      </c>
      <c r="G5" s="222" t="str">
        <f>IF(Info!J3, "Nº 3rd measures Requested", "Nº 3ª Medidas Requeridas")</f>
        <v>Nº 3ª Medidas Requeridas</v>
      </c>
      <c r="H5" s="222" t="str">
        <f>IF(Info!J3, "Not Done 1st Measure", "No Realizada 1ª Medición")</f>
        <v>No Realizada 1ª Medición</v>
      </c>
      <c r="I5" s="222" t="str">
        <f>IF(Info!J3, "Not Done 2nd Measure", "No Realizada 2ª Medición")</f>
        <v>No Realizada 2ª Medición</v>
      </c>
    </row>
    <row r="6" spans="1:9" x14ac:dyDescent="0.2">
      <c r="B6" s="223">
        <v>1</v>
      </c>
      <c r="C6" s="224">
        <f>'1'!D$59</f>
        <v>11</v>
      </c>
      <c r="D6" s="224">
        <f>'1'!E$59</f>
        <v>0</v>
      </c>
      <c r="E6" s="224">
        <f>'1'!F$59</f>
        <v>3</v>
      </c>
      <c r="F6" s="224">
        <f>'1'!G$59</f>
        <v>12</v>
      </c>
      <c r="G6" s="224">
        <f>'1'!H$59</f>
        <v>10</v>
      </c>
      <c r="H6" s="224">
        <f>'1'!I$59</f>
        <v>0</v>
      </c>
      <c r="I6" s="224">
        <f>'1'!J$59</f>
        <v>0</v>
      </c>
    </row>
    <row r="7" spans="1:9" x14ac:dyDescent="0.2">
      <c r="B7" s="225">
        <v>2</v>
      </c>
      <c r="C7" s="224">
        <f>'2'!D$59</f>
        <v>8</v>
      </c>
      <c r="D7" s="224">
        <f>'2'!E$59</f>
        <v>4</v>
      </c>
      <c r="E7" s="224">
        <f>'2'!F$59</f>
        <v>0</v>
      </c>
      <c r="F7" s="224">
        <f>'2'!G$59</f>
        <v>8</v>
      </c>
      <c r="G7" s="224">
        <f>'2'!H$59</f>
        <v>8</v>
      </c>
      <c r="H7" s="224">
        <f>'2'!I$59</f>
        <v>0</v>
      </c>
      <c r="I7" s="224">
        <f>'2'!J$59</f>
        <v>0</v>
      </c>
    </row>
    <row r="8" spans="1:9" x14ac:dyDescent="0.2">
      <c r="B8" s="225">
        <v>3</v>
      </c>
      <c r="C8" s="224">
        <f>'3'!D$59</f>
        <v>13</v>
      </c>
      <c r="D8" s="224">
        <f>'3'!E$59</f>
        <v>1</v>
      </c>
      <c r="E8" s="224">
        <f>'3'!F$59</f>
        <v>0</v>
      </c>
      <c r="F8" s="224">
        <f>'3'!G$59</f>
        <v>6</v>
      </c>
      <c r="G8" s="224">
        <f>'3'!H$59</f>
        <v>6</v>
      </c>
      <c r="H8" s="224">
        <f>'3'!I$59</f>
        <v>0</v>
      </c>
      <c r="I8" s="224">
        <f>'3'!J$59</f>
        <v>0</v>
      </c>
    </row>
    <row r="9" spans="1:9" x14ac:dyDescent="0.2">
      <c r="B9" s="225">
        <v>4</v>
      </c>
      <c r="C9" s="224">
        <f>'4'!D$59</f>
        <v>9</v>
      </c>
      <c r="D9" s="224">
        <f>'4'!E$59</f>
        <v>0</v>
      </c>
      <c r="E9" s="224">
        <f>'4'!F$59</f>
        <v>2</v>
      </c>
      <c r="F9" s="224">
        <f>'4'!G$59</f>
        <v>6</v>
      </c>
      <c r="G9" s="224">
        <f>'4'!H$59</f>
        <v>5</v>
      </c>
      <c r="H9" s="224">
        <f>'4'!I$59</f>
        <v>0</v>
      </c>
      <c r="I9" s="224">
        <f>'4'!J$59</f>
        <v>0</v>
      </c>
    </row>
    <row r="10" spans="1:9" x14ac:dyDescent="0.2">
      <c r="B10" s="225">
        <v>5</v>
      </c>
      <c r="C10" s="224">
        <f>'5'!D$59</f>
        <v>21</v>
      </c>
      <c r="D10" s="224">
        <f>'5'!E$59</f>
        <v>21</v>
      </c>
      <c r="E10" s="224">
        <f>'5'!F$59</f>
        <v>21</v>
      </c>
      <c r="F10" s="224">
        <f>'5'!G$59</f>
        <v>0</v>
      </c>
      <c r="G10" s="224">
        <f>'5'!H$59</f>
        <v>0</v>
      </c>
      <c r="H10" s="224">
        <f>'5'!I$59</f>
        <v>21</v>
      </c>
      <c r="I10" s="224">
        <f>'5'!J$59</f>
        <v>21</v>
      </c>
    </row>
    <row r="11" spans="1:9" x14ac:dyDescent="0.2">
      <c r="B11" s="225">
        <v>6</v>
      </c>
      <c r="C11" s="224">
        <f>'6'!D$59</f>
        <v>21</v>
      </c>
      <c r="D11" s="224">
        <f>'6'!E$59</f>
        <v>21</v>
      </c>
      <c r="E11" s="224">
        <f>'6'!F$59</f>
        <v>21</v>
      </c>
      <c r="F11" s="224">
        <f>'6'!G$59</f>
        <v>0</v>
      </c>
      <c r="G11" s="224">
        <f>'6'!H$59</f>
        <v>0</v>
      </c>
      <c r="H11" s="224">
        <f>'6'!I$59</f>
        <v>21</v>
      </c>
      <c r="I11" s="224">
        <f>'6'!J$59</f>
        <v>21</v>
      </c>
    </row>
    <row r="12" spans="1:9" x14ac:dyDescent="0.2">
      <c r="B12" s="225">
        <v>7</v>
      </c>
      <c r="C12" s="224">
        <f>'7'!D$59</f>
        <v>21</v>
      </c>
      <c r="D12" s="224">
        <f>'7'!E$59</f>
        <v>21</v>
      </c>
      <c r="E12" s="224">
        <f>'7'!F$59</f>
        <v>21</v>
      </c>
      <c r="F12" s="224">
        <f>'7'!G$59</f>
        <v>0</v>
      </c>
      <c r="G12" s="224">
        <f>'7'!H$59</f>
        <v>0</v>
      </c>
      <c r="H12" s="224">
        <f>'7'!I$59</f>
        <v>21</v>
      </c>
      <c r="I12" s="224">
        <f>'7'!J$59</f>
        <v>21</v>
      </c>
    </row>
    <row r="13" spans="1:9" x14ac:dyDescent="0.2">
      <c r="B13" s="225">
        <v>8</v>
      </c>
      <c r="C13" s="224">
        <f>'8'!D$59</f>
        <v>21</v>
      </c>
      <c r="D13" s="224">
        <f>'8'!E$59</f>
        <v>21</v>
      </c>
      <c r="E13" s="224">
        <f>'8'!F$59</f>
        <v>21</v>
      </c>
      <c r="F13" s="224">
        <f>'8'!G$59</f>
        <v>0</v>
      </c>
      <c r="G13" s="224">
        <f>'8'!H$59</f>
        <v>0</v>
      </c>
      <c r="H13" s="224">
        <f>'8'!I$59</f>
        <v>21</v>
      </c>
      <c r="I13" s="224">
        <f>'8'!J$59</f>
        <v>21</v>
      </c>
    </row>
    <row r="14" spans="1:9" x14ac:dyDescent="0.2">
      <c r="B14" s="225">
        <v>9</v>
      </c>
      <c r="C14" s="224">
        <f>'9'!D$59</f>
        <v>21</v>
      </c>
      <c r="D14" s="224">
        <f>'9'!E$59</f>
        <v>21</v>
      </c>
      <c r="E14" s="224">
        <f>'9'!F$59</f>
        <v>21</v>
      </c>
      <c r="F14" s="224">
        <f>'9'!G$59</f>
        <v>0</v>
      </c>
      <c r="G14" s="224">
        <f>'9'!H$59</f>
        <v>0</v>
      </c>
      <c r="H14" s="224">
        <f>'9'!I$59</f>
        <v>21</v>
      </c>
      <c r="I14" s="224">
        <f>'9'!J$59</f>
        <v>21</v>
      </c>
    </row>
    <row r="15" spans="1:9" x14ac:dyDescent="0.2">
      <c r="B15" s="225">
        <v>10</v>
      </c>
      <c r="C15" s="224">
        <f>'10'!D$59</f>
        <v>21</v>
      </c>
      <c r="D15" s="224">
        <f>'10'!E$59</f>
        <v>21</v>
      </c>
      <c r="E15" s="224">
        <f>'10'!F$59</f>
        <v>21</v>
      </c>
      <c r="F15" s="224">
        <f>'10'!G$59</f>
        <v>0</v>
      </c>
      <c r="G15" s="224">
        <f>'10'!H$59</f>
        <v>0</v>
      </c>
      <c r="H15" s="224">
        <f>'10'!I$59</f>
        <v>21</v>
      </c>
      <c r="I15" s="224">
        <f>'10'!J$59</f>
        <v>21</v>
      </c>
    </row>
    <row r="16" spans="1:9" x14ac:dyDescent="0.2">
      <c r="B16" s="225">
        <v>11</v>
      </c>
      <c r="C16" s="224">
        <f>'11'!D$59</f>
        <v>21</v>
      </c>
      <c r="D16" s="224">
        <f>'11'!E$59</f>
        <v>21</v>
      </c>
      <c r="E16" s="224">
        <f>'11'!F$59</f>
        <v>21</v>
      </c>
      <c r="F16" s="224">
        <f>'11'!G$59</f>
        <v>0</v>
      </c>
      <c r="G16" s="224">
        <f>'11'!H$59</f>
        <v>0</v>
      </c>
      <c r="H16" s="224">
        <f>'11'!I$59</f>
        <v>21</v>
      </c>
      <c r="I16" s="224">
        <f>'11'!J$59</f>
        <v>21</v>
      </c>
    </row>
    <row r="17" spans="2:9" x14ac:dyDescent="0.2">
      <c r="B17" s="225">
        <v>12</v>
      </c>
      <c r="C17" s="224">
        <f>'12'!D$59</f>
        <v>21</v>
      </c>
      <c r="D17" s="224">
        <f>'12'!E$59</f>
        <v>21</v>
      </c>
      <c r="E17" s="224">
        <f>'12'!F$59</f>
        <v>21</v>
      </c>
      <c r="F17" s="224">
        <f>'12'!G$59</f>
        <v>0</v>
      </c>
      <c r="G17" s="224">
        <f>'12'!H$59</f>
        <v>0</v>
      </c>
      <c r="H17" s="224">
        <f>'12'!I$59</f>
        <v>21</v>
      </c>
      <c r="I17" s="224">
        <f>'12'!J$59</f>
        <v>21</v>
      </c>
    </row>
    <row r="18" spans="2:9" x14ac:dyDescent="0.2">
      <c r="B18" s="225">
        <v>13</v>
      </c>
      <c r="C18" s="224">
        <f>'13'!D$59</f>
        <v>21</v>
      </c>
      <c r="D18" s="224">
        <f>'13'!E$59</f>
        <v>21</v>
      </c>
      <c r="E18" s="224">
        <f>'13'!F$59</f>
        <v>21</v>
      </c>
      <c r="F18" s="224">
        <f>'13'!G$59</f>
        <v>0</v>
      </c>
      <c r="G18" s="224">
        <f>'13'!H$59</f>
        <v>0</v>
      </c>
      <c r="H18" s="224">
        <f>'13'!I$59</f>
        <v>21</v>
      </c>
      <c r="I18" s="224">
        <f>'13'!J$59</f>
        <v>21</v>
      </c>
    </row>
    <row r="19" spans="2:9" x14ac:dyDescent="0.2">
      <c r="B19" s="225">
        <v>14</v>
      </c>
      <c r="C19" s="224">
        <f>'14'!D$59</f>
        <v>21</v>
      </c>
      <c r="D19" s="224">
        <f>'14'!E$59</f>
        <v>21</v>
      </c>
      <c r="E19" s="224">
        <f>'14'!F$59</f>
        <v>21</v>
      </c>
      <c r="F19" s="224">
        <f>'14'!G$59</f>
        <v>0</v>
      </c>
      <c r="G19" s="224">
        <f>'14'!H$59</f>
        <v>0</v>
      </c>
      <c r="H19" s="224">
        <f>'14'!I$59</f>
        <v>21</v>
      </c>
      <c r="I19" s="224">
        <f>'14'!J$59</f>
        <v>21</v>
      </c>
    </row>
    <row r="20" spans="2:9" x14ac:dyDescent="0.2">
      <c r="B20" s="225">
        <v>15</v>
      </c>
      <c r="C20" s="224">
        <f>'15'!D$59</f>
        <v>21</v>
      </c>
      <c r="D20" s="224">
        <f>'15'!E$59</f>
        <v>21</v>
      </c>
      <c r="E20" s="224">
        <f>'15'!F$59</f>
        <v>21</v>
      </c>
      <c r="F20" s="224">
        <f>'15'!G$59</f>
        <v>0</v>
      </c>
      <c r="G20" s="224">
        <f>'15'!H$59</f>
        <v>0</v>
      </c>
      <c r="H20" s="224">
        <f>'15'!I$59</f>
        <v>21</v>
      </c>
      <c r="I20" s="224">
        <f>'15'!J$59</f>
        <v>21</v>
      </c>
    </row>
    <row r="21" spans="2:9" x14ac:dyDescent="0.2">
      <c r="B21" s="225">
        <v>16</v>
      </c>
      <c r="C21" s="224">
        <f>'16'!D$59</f>
        <v>21</v>
      </c>
      <c r="D21" s="224">
        <f>'16'!E$59</f>
        <v>21</v>
      </c>
      <c r="E21" s="224">
        <f>'16'!F$59</f>
        <v>21</v>
      </c>
      <c r="F21" s="224">
        <f>'16'!G$59</f>
        <v>0</v>
      </c>
      <c r="G21" s="224">
        <f>'16'!H$59</f>
        <v>0</v>
      </c>
      <c r="H21" s="224">
        <f>'16'!I$59</f>
        <v>21</v>
      </c>
      <c r="I21" s="224">
        <f>'16'!J$59</f>
        <v>21</v>
      </c>
    </row>
    <row r="22" spans="2:9" x14ac:dyDescent="0.2">
      <c r="B22" s="225">
        <v>17</v>
      </c>
      <c r="C22" s="224">
        <f>'17'!D$59</f>
        <v>21</v>
      </c>
      <c r="D22" s="224">
        <f>'17'!E$59</f>
        <v>21</v>
      </c>
      <c r="E22" s="224">
        <f>'17'!F$59</f>
        <v>21</v>
      </c>
      <c r="F22" s="224">
        <f>'17'!G$59</f>
        <v>0</v>
      </c>
      <c r="G22" s="224">
        <f>'17'!H$59</f>
        <v>0</v>
      </c>
      <c r="H22" s="224">
        <f>'17'!I$59</f>
        <v>21</v>
      </c>
      <c r="I22" s="224">
        <f>'17'!J$59</f>
        <v>21</v>
      </c>
    </row>
    <row r="23" spans="2:9" x14ac:dyDescent="0.2">
      <c r="B23" s="225">
        <v>18</v>
      </c>
      <c r="C23" s="224">
        <f>'18'!D$59</f>
        <v>21</v>
      </c>
      <c r="D23" s="224">
        <f>'18'!E$59</f>
        <v>21</v>
      </c>
      <c r="E23" s="224">
        <f>'18'!F$59</f>
        <v>21</v>
      </c>
      <c r="F23" s="224">
        <f>'18'!G$59</f>
        <v>0</v>
      </c>
      <c r="G23" s="224">
        <f>'18'!H$59</f>
        <v>0</v>
      </c>
      <c r="H23" s="224">
        <f>'18'!I$59</f>
        <v>21</v>
      </c>
      <c r="I23" s="224">
        <f>'18'!J$59</f>
        <v>21</v>
      </c>
    </row>
    <row r="24" spans="2:9" x14ac:dyDescent="0.2">
      <c r="B24" s="225">
        <v>19</v>
      </c>
      <c r="C24" s="224">
        <f>'19'!D$59</f>
        <v>21</v>
      </c>
      <c r="D24" s="224">
        <f>'19'!E$59</f>
        <v>21</v>
      </c>
      <c r="E24" s="224">
        <f>'19'!F$59</f>
        <v>21</v>
      </c>
      <c r="F24" s="224">
        <f>'19'!G$59</f>
        <v>0</v>
      </c>
      <c r="G24" s="224">
        <f>'19'!H$59</f>
        <v>0</v>
      </c>
      <c r="H24" s="224">
        <f>'19'!I$59</f>
        <v>21</v>
      </c>
      <c r="I24" s="224">
        <f>'19'!J$59</f>
        <v>21</v>
      </c>
    </row>
    <row r="25" spans="2:9" ht="13.5" thickBot="1" x14ac:dyDescent="0.25">
      <c r="B25" s="226">
        <v>20</v>
      </c>
      <c r="C25" s="224">
        <f>'20'!D$59</f>
        <v>21</v>
      </c>
      <c r="D25" s="224">
        <f>'20'!E$59</f>
        <v>21</v>
      </c>
      <c r="E25" s="224">
        <f>'20'!F$59</f>
        <v>21</v>
      </c>
      <c r="F25" s="224">
        <f>'20'!G$59</f>
        <v>0</v>
      </c>
      <c r="G25" s="224">
        <f>'20'!H$59</f>
        <v>0</v>
      </c>
      <c r="H25" s="224">
        <f>'20'!I$59</f>
        <v>21</v>
      </c>
      <c r="I25" s="224">
        <f>'20'!J$59</f>
        <v>21</v>
      </c>
    </row>
    <row r="26" spans="2:9" ht="15.75" thickBot="1" x14ac:dyDescent="0.3">
      <c r="B26" s="227" t="s">
        <v>32</v>
      </c>
      <c r="C26" s="228">
        <f>SUM(C6:C25)</f>
        <v>377</v>
      </c>
      <c r="D26" s="228">
        <f>SUM(D6:D25)</f>
        <v>341</v>
      </c>
      <c r="E26" s="228">
        <f>SUM(E6:E25)</f>
        <v>341</v>
      </c>
      <c r="F26" s="228">
        <f>SUM(F6:F25)</f>
        <v>32</v>
      </c>
      <c r="G26" s="228">
        <f>SUM(G6:G25)</f>
        <v>29</v>
      </c>
      <c r="H26" s="228">
        <f t="shared" ref="H26:I26" si="0">SUM(H6:H25)</f>
        <v>336</v>
      </c>
      <c r="I26" s="228">
        <f t="shared" si="0"/>
        <v>336</v>
      </c>
    </row>
    <row r="27" spans="2:9" ht="15.75" thickBot="1" x14ac:dyDescent="0.3">
      <c r="B27" s="227" t="s">
        <v>33</v>
      </c>
      <c r="C27" s="229">
        <f t="shared" ref="C27:I27" si="1">(C26/(20*$C$3))</f>
        <v>0.89761904761904765</v>
      </c>
      <c r="D27" s="229">
        <f t="shared" si="1"/>
        <v>0.81190476190476191</v>
      </c>
      <c r="E27" s="229">
        <f t="shared" si="1"/>
        <v>0.81190476190476191</v>
      </c>
      <c r="F27" s="229">
        <f t="shared" si="1"/>
        <v>7.6190476190476197E-2</v>
      </c>
      <c r="G27" s="229">
        <f t="shared" si="1"/>
        <v>6.9047619047619052E-2</v>
      </c>
      <c r="H27" s="229">
        <f t="shared" si="1"/>
        <v>0.8</v>
      </c>
      <c r="I27" s="229">
        <f t="shared" si="1"/>
        <v>0.8</v>
      </c>
    </row>
  </sheetData>
  <sheetProtection algorithmName="SHA-512" hashValue="pAao0j6nhifFN6Es143NSarGwyUrrgZ1G8zsxY5qg2lD1X6GZjqmsyFHu+hPhThN5bHaHcFU+VY1cEpUZVEXjA==" saltValue="+X37qphugGI7BI5SQ2etnA==" spinCount="100000" sheet="1" objects="1" scenarios="1" selectLockedCells="1" selectUnlockedCells="1"/>
  <mergeCells count="1">
    <mergeCell ref="B1:I1"/>
  </mergeCells>
  <phoneticPr fontId="4" type="noConversion"/>
  <pageMargins left="0" right="0" top="1" bottom="1" header="0.3" footer="0.3"/>
  <pageSetup paperSize="9" orientation="portrait" horizontalDpi="0"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66688C-014D-444F-82BB-A65020699A2D}">
  <sheetPr>
    <pageSetUpPr fitToPage="1"/>
  </sheetPr>
  <dimension ref="B1:U81"/>
  <sheetViews>
    <sheetView showGridLines="0" topLeftCell="A12" zoomScale="63" zoomScaleNormal="75" zoomScaleSheetLayoutView="75" workbookViewId="0">
      <selection activeCell="D30" sqref="D30"/>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t="s">
        <v>61</v>
      </c>
      <c r="E3" s="264"/>
      <c r="F3" s="265"/>
      <c r="M3" s="77"/>
      <c r="N3" s="47" t="str">
        <f t="shared" ref="N3:N10" si="0">C3</f>
        <v>Nombre</v>
      </c>
      <c r="O3" s="269" t="str">
        <f>IF(D3="", "", D3)</f>
        <v>Jessenia Patricia</v>
      </c>
      <c r="P3" s="270"/>
      <c r="Q3" s="271"/>
      <c r="S3" s="78"/>
    </row>
    <row r="4" spans="2:21" ht="18" customHeight="1" thickBot="1" x14ac:dyDescent="0.25">
      <c r="C4" s="49" t="str">
        <f>'1'!C4</f>
        <v>Apellidos</v>
      </c>
      <c r="D4" s="260" t="s">
        <v>62</v>
      </c>
      <c r="E4" s="261"/>
      <c r="F4" s="262"/>
      <c r="M4" s="77"/>
      <c r="N4" s="49" t="str">
        <f t="shared" si="0"/>
        <v>Apellidos</v>
      </c>
      <c r="O4" s="266" t="str">
        <f t="shared" ref="O4:O10" si="1">IF(D4="", "", D4)</f>
        <v>Harro Párraga</v>
      </c>
      <c r="P4" s="267"/>
      <c r="Q4" s="268"/>
      <c r="S4" s="78"/>
    </row>
    <row r="5" spans="2:21" ht="18" customHeight="1" thickBot="1" x14ac:dyDescent="0.25">
      <c r="C5" s="70" t="str">
        <f>'1'!C5</f>
        <v>País</v>
      </c>
      <c r="D5" s="249" t="s">
        <v>63</v>
      </c>
      <c r="E5" s="250"/>
      <c r="F5" s="251"/>
      <c r="M5" s="77"/>
      <c r="N5" s="70" t="str">
        <f t="shared" si="0"/>
        <v>País</v>
      </c>
      <c r="O5" s="281" t="str">
        <f t="shared" si="1"/>
        <v>Ecuador</v>
      </c>
      <c r="P5" s="282"/>
      <c r="Q5" s="283"/>
      <c r="S5" s="78"/>
    </row>
    <row r="6" spans="2:21" ht="18" customHeight="1" x14ac:dyDescent="0.2">
      <c r="C6" s="47" t="str">
        <f>'1'!C6</f>
        <v>Raza (asiático=1; afro-americano=2; caucásico=3)</v>
      </c>
      <c r="D6" s="263">
        <v>2</v>
      </c>
      <c r="E6" s="264"/>
      <c r="F6" s="265"/>
      <c r="M6" s="77"/>
      <c r="N6" s="47" t="str">
        <f t="shared" si="0"/>
        <v>Raza (asiático=1; afro-americano=2; caucásico=3)</v>
      </c>
      <c r="O6" s="278">
        <f t="shared" si="1"/>
        <v>2</v>
      </c>
      <c r="P6" s="279"/>
      <c r="Q6" s="280"/>
      <c r="S6" s="78"/>
    </row>
    <row r="7" spans="2:21" ht="18" customHeight="1" thickBot="1" x14ac:dyDescent="0.25">
      <c r="C7" s="49" t="str">
        <f>'1'!C7</f>
        <v>Sexo (hombre=1, mujer=2)</v>
      </c>
      <c r="D7" s="260">
        <v>2</v>
      </c>
      <c r="E7" s="261"/>
      <c r="F7" s="262"/>
      <c r="M7" s="77"/>
      <c r="N7" s="49" t="str">
        <f t="shared" si="0"/>
        <v>Sexo (hombre=1, mujer=2)</v>
      </c>
      <c r="O7" s="266">
        <f t="shared" si="1"/>
        <v>2</v>
      </c>
      <c r="P7" s="267"/>
      <c r="Q7" s="268"/>
      <c r="S7" s="78"/>
    </row>
    <row r="8" spans="2:21" ht="18" customHeight="1" thickBot="1" x14ac:dyDescent="0.25">
      <c r="C8" s="70" t="str">
        <f>'1'!C8</f>
        <v>Deporte</v>
      </c>
      <c r="D8" s="249" t="s">
        <v>64</v>
      </c>
      <c r="E8" s="250"/>
      <c r="F8" s="251"/>
      <c r="M8" s="77"/>
      <c r="N8" s="70" t="str">
        <f t="shared" si="0"/>
        <v>Deporte</v>
      </c>
      <c r="O8" s="281" t="str">
        <f t="shared" si="1"/>
        <v>Baloncesto</v>
      </c>
      <c r="P8" s="282"/>
      <c r="Q8" s="283"/>
      <c r="S8" s="78"/>
    </row>
    <row r="9" spans="2:21" ht="18" customHeight="1" x14ac:dyDescent="0.2">
      <c r="C9" s="47" t="str">
        <f>'1'!C9</f>
        <v>Fecha de la Valoración</v>
      </c>
      <c r="D9" s="246">
        <v>45669</v>
      </c>
      <c r="E9" s="247"/>
      <c r="F9" s="248"/>
      <c r="M9" s="77"/>
      <c r="N9" s="47" t="str">
        <f t="shared" si="0"/>
        <v>Fecha de la Valoración</v>
      </c>
      <c r="O9" s="290">
        <f t="shared" si="1"/>
        <v>45669</v>
      </c>
      <c r="P9" s="291"/>
      <c r="Q9" s="292"/>
      <c r="S9" s="78"/>
    </row>
    <row r="10" spans="2:21" ht="18" customHeight="1" thickBot="1" x14ac:dyDescent="0.25">
      <c r="C10" s="49" t="str">
        <f>'1'!C10</f>
        <v>Fecha de Nacimiento</v>
      </c>
      <c r="D10" s="243">
        <v>31448</v>
      </c>
      <c r="E10" s="244"/>
      <c r="F10" s="245"/>
      <c r="K10" s="15"/>
      <c r="M10" s="77"/>
      <c r="N10" s="49" t="str">
        <f t="shared" si="0"/>
        <v>Fecha de Nacimiento</v>
      </c>
      <c r="O10" s="287">
        <f t="shared" si="1"/>
        <v>31448</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v>108</v>
      </c>
      <c r="E14" s="57">
        <v>108</v>
      </c>
      <c r="F14" s="58"/>
      <c r="H14" s="65">
        <f>IFERROR((E14-D14)/(AVERAGE(D14:E14)), "-")</f>
        <v>0</v>
      </c>
      <c r="I14" s="168" t="str">
        <f>IFERROR(IF(ABS(H14)&gt;1%, "Yes", "No"), "-")</f>
        <v>No</v>
      </c>
      <c r="K14" s="29">
        <f>IFERROR(MEDIAN(D14, E14, F14), "-")</f>
        <v>108</v>
      </c>
      <c r="M14" s="77"/>
      <c r="N14" s="95" t="str">
        <f t="shared" ref="N14:N34" si="2">C14</f>
        <v>Masa Corporal ®</v>
      </c>
      <c r="O14" s="96">
        <f t="shared" ref="O14:O34" si="3">IFERROR(K14, "-")</f>
        <v>108</v>
      </c>
      <c r="P14" s="97" t="s">
        <v>25</v>
      </c>
      <c r="Q14" s="85">
        <f>1/8.6*(+O14*((170.18/O$15)^3)-64.58)</f>
        <v>5.4282210230843013</v>
      </c>
      <c r="R14" s="86"/>
      <c r="S14" s="78"/>
    </row>
    <row r="15" spans="2:21" ht="18" customHeight="1" x14ac:dyDescent="0.2">
      <c r="B15" s="41">
        <f>'1'!B15</f>
        <v>2</v>
      </c>
      <c r="C15" s="42" t="str">
        <f>'1'!C15</f>
        <v>Talla ®</v>
      </c>
      <c r="D15" s="59">
        <v>168.5</v>
      </c>
      <c r="E15" s="60">
        <v>168.5</v>
      </c>
      <c r="F15" s="61"/>
      <c r="H15" s="66">
        <f t="shared" ref="H15:H34" si="4">IFERROR((E15-D15)/(AVERAGE(D15:E15)), "-")</f>
        <v>0</v>
      </c>
      <c r="I15" s="67" t="str">
        <f t="shared" ref="I15:I17" si="5">IFERROR(IF(ABS(H15)&gt;1%, "Yes", "No"), "-")</f>
        <v>No</v>
      </c>
      <c r="K15" s="69">
        <f t="shared" ref="K15:K34" si="6">IFERROR(MEDIAN(D15, E15, F15), "-")</f>
        <v>168.5</v>
      </c>
      <c r="M15" s="77"/>
      <c r="N15" s="93" t="str">
        <f t="shared" si="2"/>
        <v>Talla ®</v>
      </c>
      <c r="O15" s="26">
        <f t="shared" si="3"/>
        <v>168.5</v>
      </c>
      <c r="P15" s="83" t="s">
        <v>26</v>
      </c>
      <c r="Q15" s="87" t="s">
        <v>44</v>
      </c>
      <c r="R15" s="88"/>
      <c r="S15" s="78"/>
    </row>
    <row r="16" spans="2:21" ht="18" customHeight="1" x14ac:dyDescent="0.2">
      <c r="B16" s="41">
        <f>'1'!B16</f>
        <v>3</v>
      </c>
      <c r="C16" s="42" t="str">
        <f>'1'!C16</f>
        <v>Talla Sentado ®</v>
      </c>
      <c r="D16" s="59">
        <v>89</v>
      </c>
      <c r="E16" s="60">
        <v>89</v>
      </c>
      <c r="F16" s="61"/>
      <c r="H16" s="66">
        <f t="shared" si="4"/>
        <v>0</v>
      </c>
      <c r="I16" s="67" t="str">
        <f t="shared" si="5"/>
        <v>No</v>
      </c>
      <c r="K16" s="69">
        <f t="shared" si="6"/>
        <v>89</v>
      </c>
      <c r="M16" s="77"/>
      <c r="N16" s="93" t="str">
        <f t="shared" si="2"/>
        <v>Talla Sentado ®</v>
      </c>
      <c r="O16" s="26">
        <f t="shared" si="3"/>
        <v>89</v>
      </c>
      <c r="P16" s="83" t="s">
        <v>26</v>
      </c>
      <c r="Q16" s="87">
        <f>1/4.5*(+O16*((170.18/O$15)^1)-89.92)</f>
        <v>-7.2535443455308268E-3</v>
      </c>
      <c r="R16" s="88"/>
      <c r="S16" s="78"/>
    </row>
    <row r="17" spans="2:19" ht="18" customHeight="1" thickBot="1" x14ac:dyDescent="0.25">
      <c r="B17" s="44">
        <f>'1'!B17</f>
        <v>4</v>
      </c>
      <c r="C17" s="45" t="str">
        <f>'1'!C17</f>
        <v>Envergadura de Brazos ®</v>
      </c>
      <c r="D17" s="62">
        <v>175</v>
      </c>
      <c r="E17" s="63">
        <v>175</v>
      </c>
      <c r="F17" s="64"/>
      <c r="H17" s="68">
        <f t="shared" si="4"/>
        <v>0</v>
      </c>
      <c r="I17" s="36" t="str">
        <f t="shared" si="5"/>
        <v>No</v>
      </c>
      <c r="K17" s="33">
        <f t="shared" si="6"/>
        <v>175</v>
      </c>
      <c r="M17" s="77"/>
      <c r="N17" s="94" t="str">
        <f t="shared" si="2"/>
        <v>Envergadura de Brazos ®</v>
      </c>
      <c r="O17" s="28">
        <f t="shared" si="3"/>
        <v>175</v>
      </c>
      <c r="P17" s="84" t="s">
        <v>26</v>
      </c>
      <c r="Q17" s="89">
        <f>1/7.41*(+O17*((170.18/O$15)^1)-172.35)</f>
        <v>0.59309137944153256</v>
      </c>
      <c r="R17" s="90"/>
      <c r="S17" s="78"/>
    </row>
    <row r="18" spans="2:19" ht="18" customHeight="1" x14ac:dyDescent="0.2">
      <c r="B18" s="37">
        <f>'1'!B18</f>
        <v>5</v>
      </c>
      <c r="C18" s="38" t="str">
        <f>'1'!C18</f>
        <v>PL Tríceps ®</v>
      </c>
      <c r="D18" s="56">
        <v>41</v>
      </c>
      <c r="E18" s="57">
        <v>37</v>
      </c>
      <c r="F18" s="58">
        <v>40</v>
      </c>
      <c r="H18" s="65">
        <f t="shared" si="4"/>
        <v>-0.10256410256410256</v>
      </c>
      <c r="I18" s="168" t="str">
        <f>IFERROR(IF(ABS(H18)&gt;5%, "Yes", "No"), "-")</f>
        <v>Yes</v>
      </c>
      <c r="K18" s="29">
        <f t="shared" si="6"/>
        <v>40</v>
      </c>
      <c r="M18" s="77"/>
      <c r="N18" s="92" t="str">
        <f t="shared" si="2"/>
        <v>PL Tríceps ®</v>
      </c>
      <c r="O18" s="25">
        <f t="shared" si="3"/>
        <v>40</v>
      </c>
      <c r="P18" s="82" t="s">
        <v>27</v>
      </c>
      <c r="Q18" s="85">
        <f>1/4.47*(+O18*((170.18/O$15)^1)-15.4)</f>
        <v>5.5925756278254664</v>
      </c>
      <c r="R18" s="91"/>
      <c r="S18" s="78"/>
    </row>
    <row r="19" spans="2:19" ht="18" customHeight="1" x14ac:dyDescent="0.2">
      <c r="B19" s="41">
        <f>'1'!B19</f>
        <v>6</v>
      </c>
      <c r="C19" s="42" t="str">
        <f>'1'!C19</f>
        <v>PL Subescapular ®</v>
      </c>
      <c r="D19" s="59">
        <v>68</v>
      </c>
      <c r="E19" s="60">
        <v>70</v>
      </c>
      <c r="F19" s="61"/>
      <c r="H19" s="66">
        <f t="shared" si="4"/>
        <v>2.8985507246376812E-2</v>
      </c>
      <c r="I19" s="67" t="str">
        <f t="shared" ref="I19:I25" si="7">IFERROR(IF(ABS(H19)&gt;5%, "Yes", "No"), "-")</f>
        <v>No</v>
      </c>
      <c r="K19" s="69">
        <f t="shared" si="6"/>
        <v>69</v>
      </c>
      <c r="M19" s="77"/>
      <c r="N19" s="93" t="str">
        <f t="shared" si="2"/>
        <v>PL Subescapular ®</v>
      </c>
      <c r="O19" s="26">
        <f t="shared" si="3"/>
        <v>69</v>
      </c>
      <c r="P19" s="83" t="s">
        <v>27</v>
      </c>
      <c r="Q19" s="87">
        <f>1/5.07*(+O19*((170.18/O$15)^1)-17.2)</f>
        <v>10.352653357446783</v>
      </c>
      <c r="R19" s="88"/>
      <c r="S19" s="78"/>
    </row>
    <row r="20" spans="2:19" ht="18" customHeight="1" x14ac:dyDescent="0.2">
      <c r="B20" s="41">
        <f>'1'!B20</f>
        <v>7</v>
      </c>
      <c r="C20" s="42" t="str">
        <f>'1'!C20</f>
        <v>PL Bíceps ®</v>
      </c>
      <c r="D20" s="59">
        <v>19</v>
      </c>
      <c r="E20" s="60">
        <v>23</v>
      </c>
      <c r="F20" s="61">
        <v>21</v>
      </c>
      <c r="H20" s="66">
        <f t="shared" si="4"/>
        <v>0.19047619047619047</v>
      </c>
      <c r="I20" s="67" t="str">
        <f t="shared" si="7"/>
        <v>Yes</v>
      </c>
      <c r="K20" s="69">
        <f t="shared" si="6"/>
        <v>21</v>
      </c>
      <c r="M20" s="77"/>
      <c r="N20" s="93" t="str">
        <f t="shared" si="2"/>
        <v>PL Bíceps ®</v>
      </c>
      <c r="O20" s="26">
        <f t="shared" si="3"/>
        <v>21</v>
      </c>
      <c r="P20" s="83" t="s">
        <v>27</v>
      </c>
      <c r="Q20" s="87">
        <f>1/2*(+O20*((170.18/O$15)^1)-8)</f>
        <v>6.6046884272997044</v>
      </c>
      <c r="R20" s="88"/>
      <c r="S20" s="78"/>
    </row>
    <row r="21" spans="2:19" ht="18" customHeight="1" x14ac:dyDescent="0.2">
      <c r="B21" s="41">
        <f>'1'!B21</f>
        <v>8</v>
      </c>
      <c r="C21" s="42" t="str">
        <f>'1'!C21</f>
        <v>PL Cresta Ilíaca ®</v>
      </c>
      <c r="D21" s="59">
        <v>50</v>
      </c>
      <c r="E21" s="60">
        <v>55</v>
      </c>
      <c r="F21" s="61">
        <v>50</v>
      </c>
      <c r="H21" s="66">
        <f t="shared" si="4"/>
        <v>9.5238095238095233E-2</v>
      </c>
      <c r="I21" s="67" t="str">
        <f t="shared" si="7"/>
        <v>Yes</v>
      </c>
      <c r="K21" s="69">
        <f t="shared" si="6"/>
        <v>50</v>
      </c>
      <c r="M21" s="77"/>
      <c r="N21" s="93" t="str">
        <f t="shared" si="2"/>
        <v>PL Cresta Ilíaca ®</v>
      </c>
      <c r="O21" s="26">
        <f t="shared" si="3"/>
        <v>50</v>
      </c>
      <c r="P21" s="83" t="s">
        <v>48</v>
      </c>
      <c r="Q21" s="87">
        <f>1/6.8*(+O21*((170.18/O$15)^1)-22.4)</f>
        <v>4.1321347530109982</v>
      </c>
      <c r="R21" s="88"/>
      <c r="S21" s="78"/>
    </row>
    <row r="22" spans="2:19" ht="18" customHeight="1" x14ac:dyDescent="0.2">
      <c r="B22" s="41">
        <f>'1'!B22</f>
        <v>9</v>
      </c>
      <c r="C22" s="42" t="str">
        <f>'1'!C22</f>
        <v>PL Supraespinal ®</v>
      </c>
      <c r="D22" s="59">
        <v>48</v>
      </c>
      <c r="E22" s="60">
        <v>50</v>
      </c>
      <c r="F22" s="61"/>
      <c r="H22" s="66">
        <f t="shared" si="4"/>
        <v>4.0816326530612242E-2</v>
      </c>
      <c r="I22" s="67" t="str">
        <f t="shared" si="7"/>
        <v>No</v>
      </c>
      <c r="K22" s="69">
        <f t="shared" si="6"/>
        <v>49</v>
      </c>
      <c r="M22" s="77"/>
      <c r="N22" s="93" t="str">
        <f t="shared" si="2"/>
        <v>PL Supraespinal ®</v>
      </c>
      <c r="O22" s="26">
        <f t="shared" si="3"/>
        <v>49</v>
      </c>
      <c r="P22" s="83" t="s">
        <v>27</v>
      </c>
      <c r="Q22" s="87">
        <f>1/4.47*(+O22*((170.18/O$15)^1)-15.4)</f>
        <v>7.6260729293210954</v>
      </c>
      <c r="R22" s="88"/>
      <c r="S22" s="78"/>
    </row>
    <row r="23" spans="2:19" ht="18" customHeight="1" x14ac:dyDescent="0.2">
      <c r="B23" s="41">
        <f>'1'!B23</f>
        <v>10</v>
      </c>
      <c r="C23" s="42" t="str">
        <f>'1'!C23</f>
        <v>PL Abdominal ®</v>
      </c>
      <c r="D23" s="59">
        <v>80</v>
      </c>
      <c r="E23" s="60">
        <v>70</v>
      </c>
      <c r="F23" s="61">
        <v>80</v>
      </c>
      <c r="H23" s="66">
        <f t="shared" si="4"/>
        <v>-0.13333333333333333</v>
      </c>
      <c r="I23" s="67" t="str">
        <f t="shared" si="7"/>
        <v>Yes</v>
      </c>
      <c r="K23" s="69">
        <f t="shared" si="6"/>
        <v>80</v>
      </c>
      <c r="M23" s="77"/>
      <c r="N23" s="93" t="str">
        <f t="shared" si="2"/>
        <v>PL Abdominal ®</v>
      </c>
      <c r="O23" s="26">
        <f t="shared" si="3"/>
        <v>80</v>
      </c>
      <c r="P23" s="83" t="s">
        <v>27</v>
      </c>
      <c r="Q23" s="87">
        <f>1/7.78*(+O23*((170.18/O$15)^1)-25.4)</f>
        <v>7.1205174952133232</v>
      </c>
      <c r="R23" s="88"/>
      <c r="S23" s="78"/>
    </row>
    <row r="24" spans="2:19" ht="18" customHeight="1" x14ac:dyDescent="0.2">
      <c r="B24" s="41">
        <f>'1'!B24</f>
        <v>11</v>
      </c>
      <c r="C24" s="42" t="str">
        <f>'1'!C24</f>
        <v>PL Muslo ®</v>
      </c>
      <c r="D24" s="59">
        <v>75</v>
      </c>
      <c r="E24" s="60">
        <v>72</v>
      </c>
      <c r="F24" s="61"/>
      <c r="H24" s="66">
        <f t="shared" si="4"/>
        <v>-4.0816326530612242E-2</v>
      </c>
      <c r="I24" s="67" t="str">
        <f t="shared" si="7"/>
        <v>No</v>
      </c>
      <c r="K24" s="69">
        <f t="shared" si="6"/>
        <v>73.5</v>
      </c>
      <c r="M24" s="77"/>
      <c r="N24" s="93" t="str">
        <f t="shared" si="2"/>
        <v>PL Muslo ®</v>
      </c>
      <c r="O24" s="26">
        <f t="shared" si="3"/>
        <v>73.5</v>
      </c>
      <c r="P24" s="83" t="s">
        <v>27</v>
      </c>
      <c r="Q24" s="87">
        <f>1/8.33*(+O24*((170.18/O$15)^1)-27)</f>
        <v>5.6702063614763416</v>
      </c>
      <c r="R24" s="88"/>
      <c r="S24" s="78"/>
    </row>
    <row r="25" spans="2:19" ht="18" customHeight="1" thickBot="1" x14ac:dyDescent="0.25">
      <c r="B25" s="184">
        <f>'1'!B25</f>
        <v>12</v>
      </c>
      <c r="C25" s="185" t="str">
        <f>'1'!C25</f>
        <v>PL Pierna ®</v>
      </c>
      <c r="D25" s="186">
        <v>55</v>
      </c>
      <c r="E25" s="187">
        <v>60</v>
      </c>
      <c r="F25" s="188">
        <v>55</v>
      </c>
      <c r="H25" s="189">
        <f t="shared" si="4"/>
        <v>8.6956521739130432E-2</v>
      </c>
      <c r="I25" s="190" t="str">
        <f t="shared" si="7"/>
        <v>Yes</v>
      </c>
      <c r="K25" s="191">
        <f t="shared" si="6"/>
        <v>55</v>
      </c>
      <c r="M25" s="77"/>
      <c r="N25" s="94" t="str">
        <f t="shared" si="2"/>
        <v>PL Pierna ®</v>
      </c>
      <c r="O25" s="28">
        <f t="shared" si="3"/>
        <v>55</v>
      </c>
      <c r="P25" s="84" t="s">
        <v>27</v>
      </c>
      <c r="Q25" s="89">
        <f>1/4.67*(+O25*((170.18/O$15)^1)-16)</f>
        <v>8.4686012746300356</v>
      </c>
      <c r="R25" s="90"/>
      <c r="S25" s="78"/>
    </row>
    <row r="26" spans="2:19" ht="18" customHeight="1" x14ac:dyDescent="0.2">
      <c r="B26" s="37">
        <f>'1'!B26</f>
        <v>13</v>
      </c>
      <c r="C26" s="38" t="str">
        <f>'1'!C26</f>
        <v>PR Brazo Relajado ®</v>
      </c>
      <c r="D26" s="56">
        <v>36.5</v>
      </c>
      <c r="E26" s="57">
        <v>36.5</v>
      </c>
      <c r="F26" s="58"/>
      <c r="H26" s="65">
        <f t="shared" si="4"/>
        <v>0</v>
      </c>
      <c r="I26" s="168" t="str">
        <f t="shared" ref="I26:I34" si="8">IFERROR(IF(ABS(H26)&gt;1%, "Yes", "No"), "-")</f>
        <v>No</v>
      </c>
      <c r="K26" s="29">
        <f t="shared" si="6"/>
        <v>36.5</v>
      </c>
      <c r="M26" s="77"/>
      <c r="N26" s="93" t="str">
        <f t="shared" si="2"/>
        <v>PR Brazo Relajado ®</v>
      </c>
      <c r="O26" s="26">
        <f t="shared" si="3"/>
        <v>36.5</v>
      </c>
      <c r="P26" s="83" t="s">
        <v>26</v>
      </c>
      <c r="Q26" s="87">
        <f>1/2.33*(+O26*((170.18/O$15)^1)-26.89)</f>
        <v>4.280651036028579</v>
      </c>
      <c r="R26" s="88"/>
      <c r="S26" s="78"/>
    </row>
    <row r="27" spans="2:19" ht="18" customHeight="1" x14ac:dyDescent="0.2">
      <c r="B27" s="41">
        <f>'1'!B27</f>
        <v>14</v>
      </c>
      <c r="C27" s="42" t="str">
        <f>'1'!C27</f>
        <v>PR Brazo Flexionado y Contraído ®</v>
      </c>
      <c r="D27" s="59">
        <v>38</v>
      </c>
      <c r="E27" s="60">
        <v>36.5</v>
      </c>
      <c r="F27" s="61">
        <v>38</v>
      </c>
      <c r="H27" s="66">
        <f t="shared" si="4"/>
        <v>-4.0268456375838924E-2</v>
      </c>
      <c r="I27" s="67" t="str">
        <f t="shared" si="8"/>
        <v>Yes</v>
      </c>
      <c r="K27" s="69">
        <f t="shared" si="6"/>
        <v>38</v>
      </c>
      <c r="M27" s="77"/>
      <c r="N27" s="93" t="str">
        <f t="shared" si="2"/>
        <v>PR Brazo Flexionado y Contraído ®</v>
      </c>
      <c r="O27" s="26">
        <f t="shared" si="3"/>
        <v>38</v>
      </c>
      <c r="P27" s="83" t="s">
        <v>26</v>
      </c>
      <c r="Q27" s="87">
        <f>1/2.37*(+O27*((170.18/O$15)^1)-29.41)</f>
        <v>3.7843343474940223</v>
      </c>
      <c r="R27" s="88"/>
      <c r="S27" s="78"/>
    </row>
    <row r="28" spans="2:19" ht="18" customHeight="1" x14ac:dyDescent="0.2">
      <c r="B28" s="41">
        <f>'1'!B28</f>
        <v>15</v>
      </c>
      <c r="C28" s="42" t="str">
        <f>'1'!C28</f>
        <v>PR Cintura ®</v>
      </c>
      <c r="D28" s="59">
        <v>100</v>
      </c>
      <c r="E28" s="60">
        <v>100</v>
      </c>
      <c r="F28" s="61"/>
      <c r="H28" s="66">
        <f t="shared" si="4"/>
        <v>0</v>
      </c>
      <c r="I28" s="67" t="str">
        <f t="shared" si="8"/>
        <v>No</v>
      </c>
      <c r="K28" s="69">
        <f t="shared" si="6"/>
        <v>100</v>
      </c>
      <c r="M28" s="77"/>
      <c r="N28" s="93" t="str">
        <f t="shared" si="2"/>
        <v>PR Cintura ®</v>
      </c>
      <c r="O28" s="26">
        <f t="shared" si="3"/>
        <v>100</v>
      </c>
      <c r="P28" s="83" t="s">
        <v>26</v>
      </c>
      <c r="Q28" s="87">
        <f>1/4.45*(+O28*((170.18/O$15)^1)-71.91)</f>
        <v>6.5364118294268705</v>
      </c>
      <c r="R28" s="88"/>
      <c r="S28" s="78"/>
    </row>
    <row r="29" spans="2:19" ht="18" customHeight="1" x14ac:dyDescent="0.2">
      <c r="B29" s="41">
        <f>'1'!B29</f>
        <v>16</v>
      </c>
      <c r="C29" s="42" t="str">
        <f>'1'!C29</f>
        <v>PR Caderas ®</v>
      </c>
      <c r="D29" s="59">
        <v>121.5</v>
      </c>
      <c r="E29" s="60">
        <v>121.5</v>
      </c>
      <c r="F29" s="61"/>
      <c r="H29" s="66">
        <f t="shared" si="4"/>
        <v>0</v>
      </c>
      <c r="I29" s="67" t="str">
        <f t="shared" si="8"/>
        <v>No</v>
      </c>
      <c r="K29" s="69">
        <f t="shared" si="6"/>
        <v>121.5</v>
      </c>
      <c r="M29" s="77"/>
      <c r="N29" s="93" t="str">
        <f t="shared" si="2"/>
        <v>PR Caderas ®</v>
      </c>
      <c r="O29" s="26">
        <f t="shared" si="3"/>
        <v>121.5</v>
      </c>
      <c r="P29" s="83" t="s">
        <v>26</v>
      </c>
      <c r="Q29" s="87">
        <f>1/5.58*(+O29*((170.18/O$15)^1)-94.67)</f>
        <v>5.0253395445795217</v>
      </c>
      <c r="R29" s="88"/>
      <c r="S29" s="78"/>
    </row>
    <row r="30" spans="2:19" ht="18" customHeight="1" x14ac:dyDescent="0.2">
      <c r="B30" s="41">
        <f>'1'!B30</f>
        <v>17</v>
      </c>
      <c r="C30" s="42" t="str">
        <f>'1'!C30</f>
        <v>PR Muslo Medio ®</v>
      </c>
      <c r="D30" s="59">
        <v>64.5</v>
      </c>
      <c r="E30" s="60">
        <v>65</v>
      </c>
      <c r="F30" s="61"/>
      <c r="H30" s="66">
        <f t="shared" si="4"/>
        <v>7.7220077220077222E-3</v>
      </c>
      <c r="I30" s="67" t="str">
        <f t="shared" si="8"/>
        <v>No</v>
      </c>
      <c r="K30" s="69">
        <f t="shared" si="6"/>
        <v>64.75</v>
      </c>
      <c r="M30" s="77"/>
      <c r="N30" s="93" t="str">
        <f t="shared" si="2"/>
        <v>PR Muslo Medio ®</v>
      </c>
      <c r="O30" s="26">
        <f t="shared" si="3"/>
        <v>64.75</v>
      </c>
      <c r="P30" s="83" t="s">
        <v>26</v>
      </c>
      <c r="Q30" s="87">
        <f>1/4.56*(+O30*((170.18/O$15)^1)-53.2)</f>
        <v>2.6744689989067632</v>
      </c>
      <c r="R30" s="88"/>
      <c r="S30" s="78"/>
    </row>
    <row r="31" spans="2:19" ht="18" customHeight="1" thickBot="1" x14ac:dyDescent="0.25">
      <c r="B31" s="44">
        <f>'1'!B31</f>
        <v>18</v>
      </c>
      <c r="C31" s="45" t="str">
        <f>'1'!C31</f>
        <v>PR Pierna ®</v>
      </c>
      <c r="D31" s="62">
        <v>46</v>
      </c>
      <c r="E31" s="63">
        <v>46.1</v>
      </c>
      <c r="F31" s="64"/>
      <c r="H31" s="68">
        <f t="shared" si="4"/>
        <v>2.1715526601520396E-3</v>
      </c>
      <c r="I31" s="36" t="str">
        <f t="shared" si="8"/>
        <v>No</v>
      </c>
      <c r="K31" s="33">
        <f t="shared" si="6"/>
        <v>46.05</v>
      </c>
      <c r="M31" s="77"/>
      <c r="N31" s="192" t="str">
        <f t="shared" si="2"/>
        <v>PR Pierna ®</v>
      </c>
      <c r="O31" s="193">
        <f t="shared" si="3"/>
        <v>46.05</v>
      </c>
      <c r="P31" s="194" t="s">
        <v>26</v>
      </c>
      <c r="Q31" s="195">
        <f>1/2.3*(+O31*((170.18/O$15)^1)-35.25)</f>
        <v>4.8952754483292509</v>
      </c>
      <c r="R31" s="196"/>
      <c r="S31" s="78"/>
    </row>
    <row r="32" spans="2:19" ht="18" customHeight="1" x14ac:dyDescent="0.2">
      <c r="B32" s="37">
        <f>'1'!B32</f>
        <v>19</v>
      </c>
      <c r="C32" s="38" t="str">
        <f>'1'!C32</f>
        <v>D Húmero ®</v>
      </c>
      <c r="D32" s="56">
        <v>9</v>
      </c>
      <c r="E32" s="57">
        <v>9.1999999999999993</v>
      </c>
      <c r="F32" s="58">
        <v>9.5</v>
      </c>
      <c r="H32" s="65">
        <f t="shared" si="4"/>
        <v>2.19780219780219E-2</v>
      </c>
      <c r="I32" s="168" t="str">
        <f t="shared" si="8"/>
        <v>Yes</v>
      </c>
      <c r="K32" s="29">
        <f t="shared" si="6"/>
        <v>9.1999999999999993</v>
      </c>
      <c r="M32" s="77"/>
      <c r="N32" s="92" t="str">
        <f t="shared" si="2"/>
        <v>D Húmero ®</v>
      </c>
      <c r="O32" s="25">
        <f t="shared" si="3"/>
        <v>9.1999999999999993</v>
      </c>
      <c r="P32" s="82" t="s">
        <v>26</v>
      </c>
      <c r="Q32" s="85">
        <f>1/0.35*(+O32*((170.18/O$15)^1)-6.48)</f>
        <v>8.0335057227638842</v>
      </c>
      <c r="R32" s="91"/>
      <c r="S32" s="78"/>
    </row>
    <row r="33" spans="2:19" ht="18" customHeight="1" x14ac:dyDescent="0.2">
      <c r="B33" s="41">
        <f>'1'!B33</f>
        <v>20</v>
      </c>
      <c r="C33" s="42" t="str">
        <f>'1'!C33</f>
        <v>D Biestiloideo ®</v>
      </c>
      <c r="D33" s="59">
        <v>8.6999999999999993</v>
      </c>
      <c r="E33" s="60">
        <v>8.6999999999999993</v>
      </c>
      <c r="F33" s="61"/>
      <c r="H33" s="66">
        <f t="shared" si="4"/>
        <v>0</v>
      </c>
      <c r="I33" s="67" t="str">
        <f t="shared" si="8"/>
        <v>No</v>
      </c>
      <c r="K33" s="69">
        <f t="shared" si="6"/>
        <v>8.6999999999999993</v>
      </c>
      <c r="M33" s="77"/>
      <c r="N33" s="93" t="str">
        <f t="shared" si="2"/>
        <v>D Biestiloideo ®</v>
      </c>
      <c r="O33" s="26">
        <f t="shared" si="3"/>
        <v>8.6999999999999993</v>
      </c>
      <c r="P33" s="83" t="s">
        <v>26</v>
      </c>
      <c r="Q33" s="87">
        <f>1/0.28*(+O33*((170.18/O$15)^1)-5.21)</f>
        <v>12.774077999152187</v>
      </c>
      <c r="R33" s="88"/>
      <c r="S33" s="78"/>
    </row>
    <row r="34" spans="2:19" ht="18" customHeight="1" thickBot="1" x14ac:dyDescent="0.25">
      <c r="B34" s="44">
        <f>'1'!B34</f>
        <v>21</v>
      </c>
      <c r="C34" s="45" t="str">
        <f>'1'!C34</f>
        <v>D Fémur ®</v>
      </c>
      <c r="D34" s="62">
        <v>14</v>
      </c>
      <c r="E34" s="63">
        <v>14.5</v>
      </c>
      <c r="F34" s="64">
        <v>12.5</v>
      </c>
      <c r="H34" s="68">
        <f t="shared" si="4"/>
        <v>3.5087719298245612E-2</v>
      </c>
      <c r="I34" s="36" t="str">
        <f t="shared" si="8"/>
        <v>Yes</v>
      </c>
      <c r="K34" s="33">
        <f t="shared" si="6"/>
        <v>14</v>
      </c>
      <c r="M34" s="77"/>
      <c r="N34" s="94" t="str">
        <f t="shared" si="2"/>
        <v>D Fémur ®</v>
      </c>
      <c r="O34" s="28">
        <f t="shared" si="3"/>
        <v>14</v>
      </c>
      <c r="P34" s="84" t="s">
        <v>26</v>
      </c>
      <c r="Q34" s="89">
        <f>1/0.48*(+O34*((170.18/O$15)^1)-9.52)</f>
        <v>9.624134520276959</v>
      </c>
      <c r="R34" s="90"/>
      <c r="S34" s="78"/>
    </row>
    <row r="35" spans="2:19" ht="18" customHeight="1" x14ac:dyDescent="0.2">
      <c r="D35" s="19"/>
      <c r="E35" s="19"/>
      <c r="F35" s="19"/>
      <c r="H35" s="71"/>
      <c r="K35" s="19"/>
      <c r="M35" s="77"/>
      <c r="N35" s="92" t="str">
        <f>IF(Info!J3, "Corrected Arm Girth", "PR Brazo Corregido")</f>
        <v>PR Brazo Corregido</v>
      </c>
      <c r="O35" s="25">
        <f>IFERROR(K26-PI()*(K18/10), "-")</f>
        <v>23.933629385640828</v>
      </c>
      <c r="P35" s="82" t="s">
        <v>26</v>
      </c>
      <c r="Q35" s="85">
        <f>1/1.91*(+O35*((170.18/O$15)^1)-22.05)</f>
        <v>1.111128525015479</v>
      </c>
      <c r="R35" s="91"/>
      <c r="S35" s="78"/>
    </row>
    <row r="36" spans="2:19" ht="18" customHeight="1" x14ac:dyDescent="0.2">
      <c r="K36" s="19"/>
      <c r="M36" s="77"/>
      <c r="N36" s="93" t="str">
        <f>IF(Info!J3, "Corrected Thigh Girth", "PR Muslo Corregido")</f>
        <v>PR Muslo Corregido</v>
      </c>
      <c r="O36" s="26">
        <f>IFERROR(K30-PI()*(K24/10), "-")</f>
        <v>41.659293996115025</v>
      </c>
      <c r="P36" s="83" t="s">
        <v>26</v>
      </c>
      <c r="Q36" s="87">
        <f>1/3.59*(+O36*((170.18/O$15)^1)-47.34)</f>
        <v>-1.4666710988174283</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f>IFERROR(K31-PI()*(K25/10), "-")</f>
        <v>28.771240405256137</v>
      </c>
      <c r="P37" s="84" t="s">
        <v>26</v>
      </c>
      <c r="Q37" s="89">
        <f>1/1.97*(+O37*((170.18/O$15)^1)-30.22)</f>
        <v>-0.58979742979562721</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0</v>
      </c>
      <c r="F38" s="79">
        <f t="shared" ref="F38:F58" si="12">IF(E14=F14, 1, 0)</f>
        <v>0</v>
      </c>
      <c r="G38" s="79">
        <f t="shared" ref="G38:G58" si="13">IF(F14="", 0, 1)</f>
        <v>0</v>
      </c>
      <c r="H38" s="79">
        <f t="shared" ref="H38:H58" si="14">IF(I14="Yes", 1, 0)</f>
        <v>0</v>
      </c>
      <c r="I38" s="79">
        <f t="shared" ref="I38:J53" si="15">COUNTIF(D14, "")</f>
        <v>0</v>
      </c>
      <c r="J38" s="79">
        <f t="shared" si="15"/>
        <v>0</v>
      </c>
      <c r="K38" s="19"/>
      <c r="M38" s="77"/>
      <c r="S38" s="78"/>
    </row>
    <row r="39" spans="2:19" ht="18" customHeight="1" thickBot="1" x14ac:dyDescent="0.25">
      <c r="B39" s="79">
        <f t="shared" si="9"/>
        <v>2</v>
      </c>
      <c r="C39" s="108" t="str">
        <f t="shared" si="9"/>
        <v>Talla ®</v>
      </c>
      <c r="D39" s="79">
        <f t="shared" si="10"/>
        <v>1</v>
      </c>
      <c r="E39" s="79">
        <f t="shared" si="11"/>
        <v>0</v>
      </c>
      <c r="F39" s="79">
        <f t="shared" si="12"/>
        <v>0</v>
      </c>
      <c r="G39" s="79">
        <f t="shared" si="13"/>
        <v>0</v>
      </c>
      <c r="H39" s="79">
        <f t="shared" si="14"/>
        <v>0</v>
      </c>
      <c r="I39" s="79">
        <f t="shared" si="15"/>
        <v>0</v>
      </c>
      <c r="J39" s="79">
        <f t="shared" si="15"/>
        <v>0</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0</v>
      </c>
      <c r="F40" s="79">
        <f t="shared" si="12"/>
        <v>0</v>
      </c>
      <c r="G40" s="79">
        <f t="shared" si="13"/>
        <v>0</v>
      </c>
      <c r="H40" s="79">
        <f t="shared" si="14"/>
        <v>0</v>
      </c>
      <c r="I40" s="79">
        <f t="shared" si="15"/>
        <v>0</v>
      </c>
      <c r="J40" s="79">
        <f t="shared" si="15"/>
        <v>0</v>
      </c>
      <c r="K40" s="19"/>
      <c r="M40" s="77"/>
      <c r="N40" s="100" t="str">
        <f>'1'!N40</f>
        <v>Endomorfia</v>
      </c>
      <c r="O40" s="276">
        <f>IFERROR(-0.7182+0.1451*((O18+O19+O22)*(170.18/O15))-0.00068*(((O18+O19+O22)*(170.18/O15))^2)+0.0000014*(((O18+O19+O22)*(170.18/O15))^3), "-")</f>
        <v>10.8093258611582</v>
      </c>
      <c r="P40" s="277"/>
      <c r="R40" s="19"/>
      <c r="S40" s="78"/>
    </row>
    <row r="41" spans="2:19" ht="18" customHeight="1" x14ac:dyDescent="0.2">
      <c r="B41" s="79">
        <f t="shared" si="9"/>
        <v>4</v>
      </c>
      <c r="C41" s="108" t="str">
        <f t="shared" si="9"/>
        <v>Envergadura de Brazos ®</v>
      </c>
      <c r="D41" s="79">
        <f t="shared" si="10"/>
        <v>1</v>
      </c>
      <c r="E41" s="79">
        <f t="shared" si="11"/>
        <v>0</v>
      </c>
      <c r="F41" s="79">
        <f t="shared" si="12"/>
        <v>0</v>
      </c>
      <c r="G41" s="79">
        <f t="shared" si="13"/>
        <v>0</v>
      </c>
      <c r="H41" s="79">
        <f t="shared" si="14"/>
        <v>0</v>
      </c>
      <c r="I41" s="79">
        <f t="shared" si="15"/>
        <v>0</v>
      </c>
      <c r="J41" s="79">
        <f t="shared" si="15"/>
        <v>0</v>
      </c>
      <c r="K41" s="19"/>
      <c r="M41" s="77"/>
      <c r="N41" s="101" t="str">
        <f>'1'!N41</f>
        <v>Mesomorfia</v>
      </c>
      <c r="O41" s="274">
        <f>IFERROR((0.858*O32)+(0.601*O34)+(0.188*(O27-(O18/10)))+(0.161*(O31-(O25/10)))-(0.131*O15)+4.5, "-")</f>
        <v>11.65465</v>
      </c>
      <c r="P41" s="275"/>
      <c r="S41" s="78"/>
    </row>
    <row r="42" spans="2:19" ht="18" customHeight="1" thickBot="1" x14ac:dyDescent="0.25">
      <c r="B42" s="79">
        <f t="shared" si="9"/>
        <v>5</v>
      </c>
      <c r="C42" s="108" t="str">
        <f t="shared" si="9"/>
        <v>PL Tríceps ®</v>
      </c>
      <c r="D42" s="79">
        <f t="shared" si="10"/>
        <v>0</v>
      </c>
      <c r="E42" s="79">
        <f t="shared" si="11"/>
        <v>0</v>
      </c>
      <c r="F42" s="79">
        <f t="shared" si="12"/>
        <v>0</v>
      </c>
      <c r="G42" s="79">
        <f t="shared" si="13"/>
        <v>1</v>
      </c>
      <c r="H42" s="79">
        <f t="shared" si="14"/>
        <v>1</v>
      </c>
      <c r="I42" s="79">
        <f t="shared" si="15"/>
        <v>0</v>
      </c>
      <c r="J42" s="79">
        <f t="shared" si="15"/>
        <v>0</v>
      </c>
      <c r="K42" s="19"/>
      <c r="M42" s="77"/>
      <c r="N42" s="34" t="str">
        <f>'1'!N42</f>
        <v>Ectomorfia</v>
      </c>
      <c r="O42" s="272">
        <f>IFERROR(IF(O15/(O14^0.3333)&gt;40.75, ((0.732*O15/(O14^0.3333))-28.58), IF(O15/(O14^0.3333)&gt;38.28, ((0.463*O15/(O14^0.3333))-17.63), 0.1)), "-")</f>
        <v>0.1</v>
      </c>
      <c r="P42" s="273"/>
      <c r="R42" s="53"/>
      <c r="S42" s="78"/>
    </row>
    <row r="43" spans="2:19" ht="18" customHeight="1" x14ac:dyDescent="0.2">
      <c r="B43" s="79">
        <f t="shared" si="9"/>
        <v>6</v>
      </c>
      <c r="C43" s="108" t="str">
        <f t="shared" si="9"/>
        <v>PL Subescapular ®</v>
      </c>
      <c r="D43" s="79">
        <f t="shared" si="10"/>
        <v>0</v>
      </c>
      <c r="E43" s="79">
        <f t="shared" si="11"/>
        <v>0</v>
      </c>
      <c r="F43" s="79">
        <f t="shared" si="12"/>
        <v>0</v>
      </c>
      <c r="G43" s="79">
        <f t="shared" si="13"/>
        <v>0</v>
      </c>
      <c r="H43" s="79">
        <f t="shared" si="14"/>
        <v>0</v>
      </c>
      <c r="I43" s="79">
        <f t="shared" si="15"/>
        <v>0</v>
      </c>
      <c r="J43" s="79">
        <f t="shared" si="15"/>
        <v>0</v>
      </c>
      <c r="K43" s="19"/>
      <c r="M43" s="77"/>
      <c r="N43" s="100" t="str">
        <f>'1'!N43</f>
        <v>X</v>
      </c>
      <c r="O43" s="276">
        <f>IFERROR(O42-O40, "-")</f>
        <v>-10.709325861158201</v>
      </c>
      <c r="P43" s="277"/>
      <c r="S43" s="78"/>
    </row>
    <row r="44" spans="2:19" ht="18" customHeight="1" thickBot="1" x14ac:dyDescent="0.25">
      <c r="B44" s="79">
        <f t="shared" si="9"/>
        <v>7</v>
      </c>
      <c r="C44" s="108" t="str">
        <f t="shared" si="9"/>
        <v>PL Bíceps ®</v>
      </c>
      <c r="D44" s="79">
        <f t="shared" si="10"/>
        <v>0</v>
      </c>
      <c r="E44" s="79">
        <f t="shared" si="11"/>
        <v>0</v>
      </c>
      <c r="F44" s="79">
        <f t="shared" si="12"/>
        <v>0</v>
      </c>
      <c r="G44" s="79">
        <f t="shared" si="13"/>
        <v>1</v>
      </c>
      <c r="H44" s="79">
        <f t="shared" si="14"/>
        <v>1</v>
      </c>
      <c r="I44" s="79">
        <f t="shared" si="15"/>
        <v>0</v>
      </c>
      <c r="J44" s="79">
        <f t="shared" si="15"/>
        <v>0</v>
      </c>
      <c r="K44" s="19"/>
      <c r="M44" s="77"/>
      <c r="N44" s="34" t="str">
        <f>'1'!N44</f>
        <v>Y</v>
      </c>
      <c r="O44" s="272">
        <f>IFERROR(2*O41-(O42+O40), "-")</f>
        <v>12.399974138841801</v>
      </c>
      <c r="P44" s="273"/>
      <c r="S44" s="78"/>
    </row>
    <row r="45" spans="2:19" ht="18" customHeight="1" thickBot="1" x14ac:dyDescent="0.25">
      <c r="B45" s="79">
        <f t="shared" si="9"/>
        <v>8</v>
      </c>
      <c r="C45" s="108" t="str">
        <f t="shared" si="9"/>
        <v>PL Cresta Ilíaca ®</v>
      </c>
      <c r="D45" s="79">
        <f t="shared" si="10"/>
        <v>0</v>
      </c>
      <c r="E45" s="79">
        <f t="shared" si="11"/>
        <v>1</v>
      </c>
      <c r="F45" s="79">
        <f t="shared" si="12"/>
        <v>0</v>
      </c>
      <c r="G45" s="79">
        <f t="shared" si="13"/>
        <v>1</v>
      </c>
      <c r="H45" s="79">
        <f t="shared" si="14"/>
        <v>1</v>
      </c>
      <c r="I45" s="79">
        <f t="shared" si="15"/>
        <v>0</v>
      </c>
      <c r="J45" s="79">
        <f t="shared" si="15"/>
        <v>0</v>
      </c>
      <c r="K45" s="19"/>
      <c r="M45" s="77"/>
      <c r="S45" s="78"/>
    </row>
    <row r="46" spans="2:19" ht="18" customHeight="1" thickBot="1" x14ac:dyDescent="0.25">
      <c r="B46" s="79">
        <f t="shared" si="9"/>
        <v>9</v>
      </c>
      <c r="C46" s="108" t="str">
        <f t="shared" si="9"/>
        <v>PL Supraespinal ®</v>
      </c>
      <c r="D46" s="79">
        <f t="shared" si="10"/>
        <v>0</v>
      </c>
      <c r="E46" s="79">
        <f t="shared" si="11"/>
        <v>0</v>
      </c>
      <c r="F46" s="79">
        <f t="shared" si="12"/>
        <v>0</v>
      </c>
      <c r="G46" s="79">
        <f t="shared" si="13"/>
        <v>0</v>
      </c>
      <c r="H46" s="79">
        <f t="shared" si="14"/>
        <v>0</v>
      </c>
      <c r="I46" s="79">
        <f t="shared" si="15"/>
        <v>0</v>
      </c>
      <c r="J46" s="79">
        <f t="shared" si="15"/>
        <v>0</v>
      </c>
      <c r="M46" s="77"/>
      <c r="N46" s="72" t="str">
        <f>'1'!N46</f>
        <v>Índice de Masa Corporal (IMC)</v>
      </c>
      <c r="O46" s="102">
        <f>IFERROR(O14/(O15/100)^2, "-")</f>
        <v>38.038549251996578</v>
      </c>
      <c r="P46" s="104" t="s">
        <v>34</v>
      </c>
      <c r="S46" s="78"/>
    </row>
    <row r="47" spans="2:19" ht="18" customHeight="1" thickBot="1" x14ac:dyDescent="0.25">
      <c r="B47" s="79">
        <f t="shared" si="9"/>
        <v>10</v>
      </c>
      <c r="C47" s="108" t="str">
        <f t="shared" si="9"/>
        <v>PL Abdominal ®</v>
      </c>
      <c r="D47" s="79">
        <f t="shared" si="10"/>
        <v>0</v>
      </c>
      <c r="E47" s="79">
        <f t="shared" si="11"/>
        <v>1</v>
      </c>
      <c r="F47" s="79">
        <f t="shared" si="12"/>
        <v>0</v>
      </c>
      <c r="G47" s="79">
        <f t="shared" si="13"/>
        <v>1</v>
      </c>
      <c r="H47" s="79">
        <f t="shared" si="14"/>
        <v>1</v>
      </c>
      <c r="I47" s="79">
        <f t="shared" si="15"/>
        <v>0</v>
      </c>
      <c r="J47" s="79">
        <f t="shared" si="15"/>
        <v>0</v>
      </c>
      <c r="M47" s="77"/>
      <c r="S47" s="78"/>
    </row>
    <row r="48" spans="2:19" ht="18" customHeight="1" thickBot="1" x14ac:dyDescent="0.25">
      <c r="B48" s="79">
        <f t="shared" si="9"/>
        <v>11</v>
      </c>
      <c r="C48" s="108" t="str">
        <f t="shared" si="9"/>
        <v>PL Muslo ®</v>
      </c>
      <c r="D48" s="79">
        <f t="shared" si="10"/>
        <v>0</v>
      </c>
      <c r="E48" s="79">
        <f t="shared" si="11"/>
        <v>0</v>
      </c>
      <c r="F48" s="79">
        <f t="shared" si="12"/>
        <v>0</v>
      </c>
      <c r="G48" s="79">
        <f t="shared" si="13"/>
        <v>0</v>
      </c>
      <c r="H48" s="79">
        <f t="shared" si="14"/>
        <v>0</v>
      </c>
      <c r="I48" s="79">
        <f t="shared" si="15"/>
        <v>0</v>
      </c>
      <c r="J48" s="79">
        <f t="shared" si="15"/>
        <v>0</v>
      </c>
      <c r="M48" s="77"/>
      <c r="N48" s="72" t="str">
        <f>'1'!N48</f>
        <v>Índice Cintura/Cadera</v>
      </c>
      <c r="O48" s="293">
        <f>IFERROR(O28/O29, "-")</f>
        <v>0.82304526748971196</v>
      </c>
      <c r="P48" s="294"/>
      <c r="Q48" s="53"/>
      <c r="S48" s="78"/>
    </row>
    <row r="49" spans="2:19" ht="18" customHeight="1" thickBot="1" x14ac:dyDescent="0.25">
      <c r="B49" s="79">
        <f t="shared" si="9"/>
        <v>12</v>
      </c>
      <c r="C49" s="108" t="str">
        <f t="shared" si="9"/>
        <v>PL Pierna ®</v>
      </c>
      <c r="D49" s="79">
        <f t="shared" si="10"/>
        <v>0</v>
      </c>
      <c r="E49" s="79">
        <f t="shared" si="11"/>
        <v>1</v>
      </c>
      <c r="F49" s="79">
        <f t="shared" si="12"/>
        <v>0</v>
      </c>
      <c r="G49" s="79">
        <f t="shared" si="13"/>
        <v>1</v>
      </c>
      <c r="H49" s="79">
        <f t="shared" si="14"/>
        <v>1</v>
      </c>
      <c r="I49" s="79">
        <f t="shared" si="15"/>
        <v>0</v>
      </c>
      <c r="J49" s="79">
        <f t="shared" si="15"/>
        <v>0</v>
      </c>
      <c r="M49" s="77"/>
      <c r="S49" s="78"/>
    </row>
    <row r="50" spans="2:19" ht="18" customHeight="1" thickBot="1" x14ac:dyDescent="0.25">
      <c r="B50" s="79">
        <f t="shared" si="9"/>
        <v>13</v>
      </c>
      <c r="C50" s="108" t="str">
        <f t="shared" si="9"/>
        <v>PR Brazo Relajado ®</v>
      </c>
      <c r="D50" s="79">
        <f t="shared" si="10"/>
        <v>1</v>
      </c>
      <c r="E50" s="79">
        <f t="shared" si="11"/>
        <v>0</v>
      </c>
      <c r="F50" s="79">
        <f t="shared" si="12"/>
        <v>0</v>
      </c>
      <c r="G50" s="79">
        <f t="shared" si="13"/>
        <v>0</v>
      </c>
      <c r="H50" s="79">
        <f t="shared" si="14"/>
        <v>0</v>
      </c>
      <c r="I50" s="79">
        <f t="shared" si="15"/>
        <v>0</v>
      </c>
      <c r="J50" s="79">
        <f t="shared" si="15"/>
        <v>0</v>
      </c>
      <c r="M50" s="77"/>
      <c r="N50" s="72" t="str">
        <f>'1'!N50</f>
        <v>Índice Cintura/Talla</v>
      </c>
      <c r="O50" s="293">
        <f>IFERROR(O28/O15, "-")</f>
        <v>0.59347181008902072</v>
      </c>
      <c r="P50" s="294"/>
      <c r="S50" s="78"/>
    </row>
    <row r="51" spans="2:19" ht="18" customHeight="1" thickBot="1" x14ac:dyDescent="0.25">
      <c r="B51" s="79">
        <f t="shared" si="9"/>
        <v>14</v>
      </c>
      <c r="C51" s="108" t="str">
        <f t="shared" si="9"/>
        <v>PR Brazo Flexionado y Contraído ®</v>
      </c>
      <c r="D51" s="79">
        <f t="shared" si="10"/>
        <v>0</v>
      </c>
      <c r="E51" s="79">
        <f t="shared" si="11"/>
        <v>1</v>
      </c>
      <c r="F51" s="79">
        <f t="shared" si="12"/>
        <v>0</v>
      </c>
      <c r="G51" s="79">
        <f t="shared" si="13"/>
        <v>1</v>
      </c>
      <c r="H51" s="79">
        <f t="shared" si="14"/>
        <v>1</v>
      </c>
      <c r="I51" s="79">
        <f t="shared" si="15"/>
        <v>0</v>
      </c>
      <c r="J51" s="79">
        <f t="shared" si="15"/>
        <v>0</v>
      </c>
      <c r="M51" s="77"/>
      <c r="Q51" s="53"/>
      <c r="S51" s="78"/>
    </row>
    <row r="52" spans="2:19" ht="18" customHeight="1" thickBot="1" x14ac:dyDescent="0.25">
      <c r="B52" s="79">
        <f t="shared" si="9"/>
        <v>15</v>
      </c>
      <c r="C52" s="108" t="str">
        <f t="shared" si="9"/>
        <v>PR Cintura ®</v>
      </c>
      <c r="D52" s="79">
        <f t="shared" si="10"/>
        <v>1</v>
      </c>
      <c r="E52" s="79">
        <f t="shared" si="11"/>
        <v>0</v>
      </c>
      <c r="F52" s="79">
        <f t="shared" si="12"/>
        <v>0</v>
      </c>
      <c r="G52" s="79">
        <f t="shared" si="13"/>
        <v>0</v>
      </c>
      <c r="H52" s="79">
        <f t="shared" si="14"/>
        <v>0</v>
      </c>
      <c r="I52" s="79">
        <f t="shared" si="15"/>
        <v>0</v>
      </c>
      <c r="J52" s="79">
        <f t="shared" si="15"/>
        <v>0</v>
      </c>
      <c r="M52" s="77"/>
      <c r="N52" s="72" t="str">
        <f>'1'!N52</f>
        <v>Sumatorio de 8 pliegues</v>
      </c>
      <c r="O52" s="103">
        <f>IFERROR(SUM(O18:O25), "-")</f>
        <v>437.5</v>
      </c>
      <c r="P52" s="104" t="s">
        <v>27</v>
      </c>
      <c r="S52" s="78"/>
    </row>
    <row r="53" spans="2:19" ht="18" customHeight="1" thickBot="1" x14ac:dyDescent="0.25">
      <c r="B53" s="79">
        <f t="shared" si="9"/>
        <v>16</v>
      </c>
      <c r="C53" s="108" t="str">
        <f t="shared" si="9"/>
        <v>PR Caderas ®</v>
      </c>
      <c r="D53" s="79">
        <f t="shared" si="10"/>
        <v>1</v>
      </c>
      <c r="E53" s="79">
        <f t="shared" si="11"/>
        <v>0</v>
      </c>
      <c r="F53" s="79">
        <f t="shared" si="12"/>
        <v>0</v>
      </c>
      <c r="G53" s="79">
        <f t="shared" si="13"/>
        <v>0</v>
      </c>
      <c r="H53" s="79">
        <f t="shared" si="14"/>
        <v>0</v>
      </c>
      <c r="I53" s="79">
        <f t="shared" si="15"/>
        <v>0</v>
      </c>
      <c r="J53" s="79">
        <f t="shared" si="15"/>
        <v>0</v>
      </c>
      <c r="M53" s="77"/>
      <c r="P53" s="18"/>
      <c r="S53" s="78"/>
    </row>
    <row r="54" spans="2:19" ht="18" customHeight="1" thickBot="1" x14ac:dyDescent="0.25">
      <c r="B54" s="79">
        <f t="shared" ref="B54:C58" si="16">B30</f>
        <v>17</v>
      </c>
      <c r="C54" s="108" t="str">
        <f t="shared" si="16"/>
        <v>PR Muslo Medio ®</v>
      </c>
      <c r="D54" s="79">
        <f t="shared" si="10"/>
        <v>0</v>
      </c>
      <c r="E54" s="79">
        <f t="shared" si="11"/>
        <v>0</v>
      </c>
      <c r="F54" s="79">
        <f t="shared" si="12"/>
        <v>0</v>
      </c>
      <c r="G54" s="79">
        <f t="shared" si="13"/>
        <v>0</v>
      </c>
      <c r="H54" s="79">
        <f t="shared" si="14"/>
        <v>0</v>
      </c>
      <c r="I54" s="79">
        <f t="shared" ref="I54:J58" si="17">COUNTIF(D30, "")</f>
        <v>0</v>
      </c>
      <c r="J54" s="79">
        <f t="shared" si="17"/>
        <v>0</v>
      </c>
      <c r="M54" s="77"/>
      <c r="N54" s="72" t="str">
        <f>'1'!N54</f>
        <v>Sumatorio de 6 pliegues</v>
      </c>
      <c r="O54" s="103">
        <f>IFERROR(SUM(O18:O19, O22:O25), "-")</f>
        <v>366.5</v>
      </c>
      <c r="P54" s="104" t="s">
        <v>27</v>
      </c>
      <c r="S54" s="78"/>
    </row>
    <row r="55" spans="2:19" ht="18" customHeight="1" thickBot="1" x14ac:dyDescent="0.25">
      <c r="B55" s="79">
        <f t="shared" si="16"/>
        <v>18</v>
      </c>
      <c r="C55" s="108" t="str">
        <f t="shared" si="16"/>
        <v>PR Pierna ®</v>
      </c>
      <c r="D55" s="79">
        <f t="shared" si="10"/>
        <v>0</v>
      </c>
      <c r="E55" s="79">
        <f t="shared" si="11"/>
        <v>0</v>
      </c>
      <c r="F55" s="79">
        <f t="shared" si="12"/>
        <v>0</v>
      </c>
      <c r="G55" s="79">
        <f t="shared" si="13"/>
        <v>0</v>
      </c>
      <c r="H55" s="79">
        <f t="shared" si="14"/>
        <v>0</v>
      </c>
      <c r="I55" s="79">
        <f t="shared" si="17"/>
        <v>0</v>
      </c>
      <c r="J55" s="79">
        <f t="shared" si="17"/>
        <v>0</v>
      </c>
      <c r="M55" s="77"/>
      <c r="S55" s="78"/>
    </row>
    <row r="56" spans="2:19" ht="18" customHeight="1" thickBot="1" x14ac:dyDescent="0.25">
      <c r="B56" s="79">
        <f t="shared" si="16"/>
        <v>19</v>
      </c>
      <c r="C56" s="108" t="str">
        <f t="shared" si="16"/>
        <v>D Húmero ®</v>
      </c>
      <c r="D56" s="79">
        <f t="shared" si="10"/>
        <v>0</v>
      </c>
      <c r="E56" s="79">
        <f t="shared" si="11"/>
        <v>0</v>
      </c>
      <c r="F56" s="79">
        <f t="shared" si="12"/>
        <v>0</v>
      </c>
      <c r="G56" s="79">
        <f t="shared" si="13"/>
        <v>1</v>
      </c>
      <c r="H56" s="79">
        <f t="shared" si="14"/>
        <v>1</v>
      </c>
      <c r="I56" s="79">
        <f t="shared" si="17"/>
        <v>0</v>
      </c>
      <c r="J56" s="79">
        <f t="shared" si="17"/>
        <v>0</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0</v>
      </c>
      <c r="F57" s="79">
        <f t="shared" si="12"/>
        <v>0</v>
      </c>
      <c r="G57" s="79">
        <f t="shared" si="13"/>
        <v>0</v>
      </c>
      <c r="H57" s="79">
        <f t="shared" si="14"/>
        <v>0</v>
      </c>
      <c r="I57" s="79">
        <f t="shared" si="17"/>
        <v>0</v>
      </c>
      <c r="J57" s="79">
        <f t="shared" si="17"/>
        <v>0</v>
      </c>
      <c r="M57" s="77"/>
      <c r="N57" s="55"/>
      <c r="O57" s="72" t="str">
        <f>'1'!O57</f>
        <v>Porcentaje</v>
      </c>
      <c r="P57" s="72" t="str">
        <f>'1'!P57</f>
        <v>Masa Real</v>
      </c>
      <c r="S57" s="78"/>
    </row>
    <row r="58" spans="2:19" ht="18" customHeight="1" x14ac:dyDescent="0.2">
      <c r="B58" s="79">
        <f t="shared" si="16"/>
        <v>21</v>
      </c>
      <c r="C58" s="108" t="str">
        <f t="shared" si="16"/>
        <v>D Fémur ®</v>
      </c>
      <c r="D58" s="79">
        <f t="shared" si="10"/>
        <v>0</v>
      </c>
      <c r="E58" s="79">
        <f t="shared" si="11"/>
        <v>0</v>
      </c>
      <c r="F58" s="79">
        <f t="shared" si="12"/>
        <v>0</v>
      </c>
      <c r="G58" s="79">
        <f t="shared" si="13"/>
        <v>1</v>
      </c>
      <c r="H58" s="79">
        <f t="shared" si="14"/>
        <v>1</v>
      </c>
      <c r="I58" s="79">
        <f t="shared" si="17"/>
        <v>0</v>
      </c>
      <c r="J58" s="79">
        <f t="shared" si="17"/>
        <v>0</v>
      </c>
      <c r="M58" s="77"/>
      <c r="N58" s="206" t="str">
        <f>'1'!N58</f>
        <v>Masa Muscular - Lee</v>
      </c>
      <c r="O58" s="207">
        <f>IFERROR(P58/O14, "-")</f>
        <v>0.2021920355351744</v>
      </c>
      <c r="P58" s="208">
        <f>IFERROR(O15/100*(0.00744*O35^2+0.00088*O36^2+0.00441*O37^2)+(2.4*(IF(O7=1,1,0)))-0.048*((O9-O10)/365.25)+IF(O6="1",-2,IF(O6="2",1.1,0))+7.8, "-")</f>
        <v>21.836739837798834</v>
      </c>
      <c r="S58" s="78"/>
    </row>
    <row r="59" spans="2:19" ht="18" customHeight="1" x14ac:dyDescent="0.2">
      <c r="B59" s="79" t="s">
        <v>44</v>
      </c>
      <c r="C59" s="108" t="s">
        <v>45</v>
      </c>
      <c r="D59" s="79">
        <f t="shared" ref="D59:J59" si="18">SUM(D38:D58)</f>
        <v>8</v>
      </c>
      <c r="E59" s="79">
        <f t="shared" si="18"/>
        <v>4</v>
      </c>
      <c r="F59" s="79">
        <f t="shared" si="18"/>
        <v>0</v>
      </c>
      <c r="G59" s="79">
        <f t="shared" si="18"/>
        <v>8</v>
      </c>
      <c r="H59" s="79">
        <f t="shared" si="18"/>
        <v>8</v>
      </c>
      <c r="I59" s="79">
        <f t="shared" si="18"/>
        <v>0</v>
      </c>
      <c r="J59" s="79">
        <f t="shared" si="18"/>
        <v>0</v>
      </c>
      <c r="M59" s="77"/>
      <c r="N59" s="209" t="str">
        <f>'1'!N59</f>
        <v>Masa Ósea - Rocha</v>
      </c>
      <c r="O59" s="210">
        <f>IFERROR(P59/O14, "-")</f>
        <v>0.18151354368089059</v>
      </c>
      <c r="P59" s="211">
        <f>IFERROR(3.02*(((O15/100)^2)*(O33/100)*(O34/100)*400)^0.712, "-")</f>
        <v>19.603462717536186</v>
      </c>
      <c r="R59" s="53"/>
      <c r="S59" s="78"/>
    </row>
    <row r="60" spans="2:19" ht="18" customHeight="1" x14ac:dyDescent="0.2">
      <c r="B60" s="79"/>
      <c r="C60" s="108"/>
      <c r="D60" s="79"/>
      <c r="E60" s="79"/>
      <c r="F60" s="79"/>
      <c r="G60" s="79"/>
      <c r="H60" s="79"/>
      <c r="I60" s="79"/>
      <c r="J60" s="79"/>
      <c r="M60" s="77"/>
      <c r="N60" s="212" t="str">
        <f>'1'!N60</f>
        <v>Masa Residual</v>
      </c>
      <c r="O60" s="213">
        <f>IFERROR(1-O58-O61-O59, "-")</f>
        <v>2.7238115641284588E-3</v>
      </c>
      <c r="P60" s="214">
        <f>IFERROR(O14-P58-P61-P59, "-")</f>
        <v>0.29417164892587166</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108</v>
      </c>
      <c r="F61" s="79">
        <f t="shared" ref="F61:F81" si="22">ABS(E14-F14)</f>
        <v>108</v>
      </c>
      <c r="G61" s="109">
        <f t="shared" ref="G61:G81" si="23">IF(D61=MIN(D61:F61), D14, IF(E61=MIN(D61:F61), D14, E14))</f>
        <v>108</v>
      </c>
      <c r="H61" s="109">
        <f t="shared" ref="H61:H81" si="24">IF(D61=MIN(D61:F61), E14, IF(E61=MIN(D61:F61), F14, F14))</f>
        <v>108</v>
      </c>
      <c r="I61" s="79"/>
      <c r="J61" s="79"/>
      <c r="M61" s="77"/>
      <c r="N61" s="215" t="str">
        <f>'1'!N61</f>
        <v>Masa Adiposa - Kerr</v>
      </c>
      <c r="O61" s="216">
        <f>IFERROR(P61/O14, "-")</f>
        <v>0.61357060921980655</v>
      </c>
      <c r="P61" s="217">
        <f>IFERROR((((((O54*(170.18/O15)-116.41)/34.79)*5.85)+25.6)/(170.18/O15)^3), "-")</f>
        <v>66.265625795739112</v>
      </c>
      <c r="S61" s="78"/>
    </row>
    <row r="62" spans="2:19" ht="18" customHeight="1" x14ac:dyDescent="0.2">
      <c r="B62" s="79">
        <f t="shared" si="19"/>
        <v>2</v>
      </c>
      <c r="C62" s="108" t="str">
        <f t="shared" si="19"/>
        <v>Talla ®</v>
      </c>
      <c r="D62" s="79">
        <f t="shared" si="20"/>
        <v>0</v>
      </c>
      <c r="E62" s="79">
        <f t="shared" si="21"/>
        <v>168.5</v>
      </c>
      <c r="F62" s="79">
        <f t="shared" si="22"/>
        <v>168.5</v>
      </c>
      <c r="G62" s="109">
        <f t="shared" si="23"/>
        <v>168.5</v>
      </c>
      <c r="H62" s="109">
        <f t="shared" si="24"/>
        <v>168.5</v>
      </c>
      <c r="I62" s="79"/>
      <c r="J62" s="79"/>
      <c r="M62" s="77"/>
      <c r="N62" s="200" t="str">
        <f>'1'!N62</f>
        <v>Masa Grasa - Faulkner</v>
      </c>
      <c r="O62" s="201">
        <f>IFERROR(IF(O7=1, 0.153*(O18+O19+O22+O23)+5.783, 0.213*(O18+O19+O22+O23)+7.9)/100, "-")</f>
        <v>0.58593999999999991</v>
      </c>
      <c r="P62" s="202">
        <f>IFERROR(O14*O62, "-")</f>
        <v>63.281519999999986</v>
      </c>
      <c r="S62" s="78"/>
    </row>
    <row r="63" spans="2:19" ht="18" customHeight="1" thickBot="1" x14ac:dyDescent="0.25">
      <c r="B63" s="79">
        <f t="shared" si="19"/>
        <v>3</v>
      </c>
      <c r="C63" s="108" t="str">
        <f t="shared" si="19"/>
        <v>Talla Sentado ®</v>
      </c>
      <c r="D63" s="79">
        <f t="shared" si="20"/>
        <v>0</v>
      </c>
      <c r="E63" s="79">
        <f t="shared" si="21"/>
        <v>89</v>
      </c>
      <c r="F63" s="79">
        <f t="shared" si="22"/>
        <v>89</v>
      </c>
      <c r="G63" s="109">
        <f t="shared" si="23"/>
        <v>89</v>
      </c>
      <c r="H63" s="109">
        <f t="shared" si="24"/>
        <v>89</v>
      </c>
      <c r="I63" s="79"/>
      <c r="J63" s="79"/>
      <c r="M63" s="77"/>
      <c r="N63" s="203" t="str">
        <f>'1'!N63</f>
        <v>Masa Grasa - Carter</v>
      </c>
      <c r="O63" s="204">
        <f>IFERROR(IF(O54=0, "-", IF(O7=1, 0.1051*(O54)+2.58, 0.1548*(O54)+3.58)/100), "-")</f>
        <v>0.60314199999999996</v>
      </c>
      <c r="P63" s="205">
        <f>IFERROR(O14*O63, "-")</f>
        <v>65.139336</v>
      </c>
      <c r="S63" s="78"/>
    </row>
    <row r="64" spans="2:19" ht="18" customHeight="1" thickBot="1" x14ac:dyDescent="0.25">
      <c r="B64" s="79">
        <f t="shared" si="19"/>
        <v>4</v>
      </c>
      <c r="C64" s="108" t="str">
        <f t="shared" si="19"/>
        <v>Envergadura de Brazos ®</v>
      </c>
      <c r="D64" s="79">
        <f t="shared" si="20"/>
        <v>0</v>
      </c>
      <c r="E64" s="79">
        <f t="shared" si="21"/>
        <v>175</v>
      </c>
      <c r="F64" s="79">
        <f t="shared" si="22"/>
        <v>175</v>
      </c>
      <c r="G64" s="109">
        <f t="shared" si="23"/>
        <v>175</v>
      </c>
      <c r="H64" s="109">
        <f t="shared" si="24"/>
        <v>175</v>
      </c>
      <c r="I64" s="79"/>
      <c r="J64" s="79"/>
      <c r="M64" s="77"/>
      <c r="N64" s="72" t="str">
        <f>'1'!N64</f>
        <v>Masa Total</v>
      </c>
      <c r="O64" s="106">
        <f>IFERROR(SUM(O58:O61), "-")</f>
        <v>1</v>
      </c>
      <c r="P64" s="107">
        <f>IFERROR(SUM(P58:P61), "-")</f>
        <v>108</v>
      </c>
      <c r="R64" s="53"/>
      <c r="S64" s="78"/>
    </row>
    <row r="65" spans="2:19" ht="18" customHeight="1" thickBot="1" x14ac:dyDescent="0.25">
      <c r="B65" s="79">
        <f t="shared" si="19"/>
        <v>5</v>
      </c>
      <c r="C65" s="108" t="str">
        <f t="shared" si="19"/>
        <v>PL Tríceps ®</v>
      </c>
      <c r="D65" s="79">
        <f t="shared" si="20"/>
        <v>4</v>
      </c>
      <c r="E65" s="79">
        <f t="shared" si="21"/>
        <v>1</v>
      </c>
      <c r="F65" s="79">
        <f t="shared" si="22"/>
        <v>3</v>
      </c>
      <c r="G65" s="109">
        <f t="shared" si="23"/>
        <v>41</v>
      </c>
      <c r="H65" s="109">
        <f t="shared" si="24"/>
        <v>40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2</v>
      </c>
      <c r="E66" s="79">
        <f t="shared" si="21"/>
        <v>68</v>
      </c>
      <c r="F66" s="79">
        <f t="shared" si="22"/>
        <v>70</v>
      </c>
      <c r="G66" s="109">
        <f t="shared" si="23"/>
        <v>68</v>
      </c>
      <c r="H66" s="109">
        <f t="shared" si="24"/>
        <v>70</v>
      </c>
      <c r="I66" s="79"/>
      <c r="J66" s="79"/>
      <c r="M66" s="197"/>
      <c r="N66" s="197"/>
      <c r="O66" s="197"/>
      <c r="P66" s="197"/>
      <c r="Q66" s="197"/>
      <c r="R66" s="198"/>
      <c r="S66" s="197"/>
    </row>
    <row r="67" spans="2:19" ht="18" customHeight="1" x14ac:dyDescent="0.2">
      <c r="B67" s="79">
        <f t="shared" si="19"/>
        <v>7</v>
      </c>
      <c r="C67" s="108" t="str">
        <f t="shared" si="19"/>
        <v>PL Bíceps ®</v>
      </c>
      <c r="D67" s="79">
        <f t="shared" si="20"/>
        <v>4</v>
      </c>
      <c r="E67" s="79">
        <f t="shared" si="21"/>
        <v>2</v>
      </c>
      <c r="F67" s="79">
        <f t="shared" si="22"/>
        <v>2</v>
      </c>
      <c r="G67" s="109">
        <f t="shared" si="23"/>
        <v>19</v>
      </c>
      <c r="H67" s="109">
        <f t="shared" si="24"/>
        <v>21</v>
      </c>
      <c r="I67" s="79"/>
      <c r="J67" s="79"/>
      <c r="R67" s="53"/>
    </row>
    <row r="68" spans="2:19" ht="18" customHeight="1" x14ac:dyDescent="0.2">
      <c r="B68" s="79">
        <f t="shared" si="19"/>
        <v>8</v>
      </c>
      <c r="C68" s="108" t="str">
        <f t="shared" si="19"/>
        <v>PL Cresta Ilíaca ®</v>
      </c>
      <c r="D68" s="79">
        <f t="shared" si="20"/>
        <v>5</v>
      </c>
      <c r="E68" s="79">
        <f t="shared" si="21"/>
        <v>0</v>
      </c>
      <c r="F68" s="79">
        <f t="shared" si="22"/>
        <v>5</v>
      </c>
      <c r="G68" s="109">
        <f t="shared" si="23"/>
        <v>50</v>
      </c>
      <c r="H68" s="109">
        <f t="shared" si="24"/>
        <v>50</v>
      </c>
      <c r="I68" s="79"/>
      <c r="J68" s="79"/>
    </row>
    <row r="69" spans="2:19" ht="18" customHeight="1" x14ac:dyDescent="0.2">
      <c r="B69" s="79">
        <f t="shared" si="19"/>
        <v>9</v>
      </c>
      <c r="C69" s="108" t="str">
        <f t="shared" si="19"/>
        <v>PL Supraespinal ®</v>
      </c>
      <c r="D69" s="79">
        <f t="shared" si="20"/>
        <v>2</v>
      </c>
      <c r="E69" s="79">
        <f t="shared" si="21"/>
        <v>48</v>
      </c>
      <c r="F69" s="79">
        <f t="shared" si="22"/>
        <v>50</v>
      </c>
      <c r="G69" s="109">
        <f t="shared" si="23"/>
        <v>48</v>
      </c>
      <c r="H69" s="109">
        <f t="shared" si="24"/>
        <v>50</v>
      </c>
      <c r="I69" s="79"/>
      <c r="J69" s="79"/>
    </row>
    <row r="70" spans="2:19" ht="18" customHeight="1" x14ac:dyDescent="0.2">
      <c r="B70" s="79">
        <f t="shared" si="19"/>
        <v>10</v>
      </c>
      <c r="C70" s="108" t="str">
        <f t="shared" si="19"/>
        <v>PL Abdominal ®</v>
      </c>
      <c r="D70" s="79">
        <f t="shared" si="20"/>
        <v>10</v>
      </c>
      <c r="E70" s="79">
        <f t="shared" si="21"/>
        <v>0</v>
      </c>
      <c r="F70" s="79">
        <f t="shared" si="22"/>
        <v>10</v>
      </c>
      <c r="G70" s="109">
        <f t="shared" si="23"/>
        <v>80</v>
      </c>
      <c r="H70" s="109">
        <f t="shared" si="24"/>
        <v>80</v>
      </c>
      <c r="I70" s="79"/>
      <c r="J70" s="79"/>
    </row>
    <row r="71" spans="2:19" ht="18" customHeight="1" x14ac:dyDescent="0.2">
      <c r="B71" s="79">
        <f t="shared" si="19"/>
        <v>11</v>
      </c>
      <c r="C71" s="108" t="str">
        <f t="shared" si="19"/>
        <v>PL Muslo ®</v>
      </c>
      <c r="D71" s="79">
        <f t="shared" si="20"/>
        <v>3</v>
      </c>
      <c r="E71" s="79">
        <f t="shared" si="21"/>
        <v>75</v>
      </c>
      <c r="F71" s="79">
        <f t="shared" si="22"/>
        <v>72</v>
      </c>
      <c r="G71" s="109">
        <f t="shared" si="23"/>
        <v>75</v>
      </c>
      <c r="H71" s="109">
        <f t="shared" si="24"/>
        <v>72</v>
      </c>
      <c r="I71" s="79"/>
      <c r="J71" s="79"/>
    </row>
    <row r="72" spans="2:19" ht="18" customHeight="1" x14ac:dyDescent="0.2">
      <c r="B72" s="79">
        <f t="shared" si="19"/>
        <v>12</v>
      </c>
      <c r="C72" s="108" t="str">
        <f t="shared" si="19"/>
        <v>PL Pierna ®</v>
      </c>
      <c r="D72" s="79">
        <f t="shared" si="20"/>
        <v>5</v>
      </c>
      <c r="E72" s="79">
        <f t="shared" si="21"/>
        <v>0</v>
      </c>
      <c r="F72" s="79">
        <f t="shared" si="22"/>
        <v>5</v>
      </c>
      <c r="G72" s="109">
        <f t="shared" si="23"/>
        <v>55</v>
      </c>
      <c r="H72" s="109">
        <f t="shared" si="24"/>
        <v>55</v>
      </c>
      <c r="I72" s="79"/>
      <c r="J72" s="79"/>
    </row>
    <row r="73" spans="2:19" ht="18" customHeight="1" x14ac:dyDescent="0.2">
      <c r="B73" s="79">
        <f t="shared" si="19"/>
        <v>13</v>
      </c>
      <c r="C73" s="108" t="str">
        <f t="shared" si="19"/>
        <v>PR Brazo Relajado ®</v>
      </c>
      <c r="D73" s="79">
        <f t="shared" si="20"/>
        <v>0</v>
      </c>
      <c r="E73" s="79">
        <f t="shared" si="21"/>
        <v>36.5</v>
      </c>
      <c r="F73" s="79">
        <f t="shared" si="22"/>
        <v>36.5</v>
      </c>
      <c r="G73" s="109">
        <f t="shared" si="23"/>
        <v>36.5</v>
      </c>
      <c r="H73" s="109">
        <f t="shared" si="24"/>
        <v>36.5</v>
      </c>
      <c r="I73" s="79"/>
      <c r="J73" s="79"/>
    </row>
    <row r="74" spans="2:19" ht="18" customHeight="1" x14ac:dyDescent="0.2">
      <c r="B74" s="79">
        <f t="shared" si="19"/>
        <v>14</v>
      </c>
      <c r="C74" s="108" t="str">
        <f t="shared" si="19"/>
        <v>PR Brazo Flexionado y Contraído ®</v>
      </c>
      <c r="D74" s="79">
        <f t="shared" si="20"/>
        <v>1.5</v>
      </c>
      <c r="E74" s="79">
        <f t="shared" si="21"/>
        <v>0</v>
      </c>
      <c r="F74" s="79">
        <f t="shared" si="22"/>
        <v>1.5</v>
      </c>
      <c r="G74" s="109">
        <f t="shared" si="23"/>
        <v>38</v>
      </c>
      <c r="H74" s="109">
        <f t="shared" si="24"/>
        <v>38</v>
      </c>
      <c r="I74" s="79"/>
      <c r="J74" s="79"/>
    </row>
    <row r="75" spans="2:19" ht="18" customHeight="1" x14ac:dyDescent="0.2">
      <c r="B75" s="79">
        <f t="shared" si="19"/>
        <v>15</v>
      </c>
      <c r="C75" s="108" t="str">
        <f t="shared" si="19"/>
        <v>PR Cintura ®</v>
      </c>
      <c r="D75" s="79">
        <f t="shared" si="20"/>
        <v>0</v>
      </c>
      <c r="E75" s="79">
        <f t="shared" si="21"/>
        <v>100</v>
      </c>
      <c r="F75" s="79">
        <f t="shared" si="22"/>
        <v>100</v>
      </c>
      <c r="G75" s="109">
        <f t="shared" si="23"/>
        <v>100</v>
      </c>
      <c r="H75" s="109">
        <f t="shared" si="24"/>
        <v>100</v>
      </c>
      <c r="I75" s="79"/>
      <c r="J75" s="79"/>
    </row>
    <row r="76" spans="2:19" ht="18" customHeight="1" x14ac:dyDescent="0.2">
      <c r="B76" s="79">
        <f t="shared" si="19"/>
        <v>16</v>
      </c>
      <c r="C76" s="108" t="str">
        <f t="shared" si="19"/>
        <v>PR Caderas ®</v>
      </c>
      <c r="D76" s="79">
        <f t="shared" si="20"/>
        <v>0</v>
      </c>
      <c r="E76" s="79">
        <f t="shared" si="21"/>
        <v>121.5</v>
      </c>
      <c r="F76" s="79">
        <f t="shared" si="22"/>
        <v>121.5</v>
      </c>
      <c r="G76" s="109">
        <f t="shared" si="23"/>
        <v>121.5</v>
      </c>
      <c r="H76" s="109">
        <f t="shared" si="24"/>
        <v>121.5</v>
      </c>
      <c r="I76" s="79"/>
      <c r="J76" s="79"/>
    </row>
    <row r="77" spans="2:19" ht="18" customHeight="1" x14ac:dyDescent="0.2">
      <c r="B77" s="79">
        <f t="shared" ref="B77:C81" si="25">B30</f>
        <v>17</v>
      </c>
      <c r="C77" s="108" t="str">
        <f t="shared" si="25"/>
        <v>PR Muslo Medio ®</v>
      </c>
      <c r="D77" s="79">
        <f t="shared" si="20"/>
        <v>0.5</v>
      </c>
      <c r="E77" s="79">
        <f t="shared" si="21"/>
        <v>64.5</v>
      </c>
      <c r="F77" s="79">
        <f t="shared" si="22"/>
        <v>65</v>
      </c>
      <c r="G77" s="109">
        <f t="shared" si="23"/>
        <v>64.5</v>
      </c>
      <c r="H77" s="109">
        <f t="shared" si="24"/>
        <v>65</v>
      </c>
      <c r="I77" s="79"/>
      <c r="J77" s="79"/>
    </row>
    <row r="78" spans="2:19" ht="18" customHeight="1" x14ac:dyDescent="0.2">
      <c r="B78" s="79">
        <f t="shared" si="25"/>
        <v>18</v>
      </c>
      <c r="C78" s="108" t="str">
        <f t="shared" si="25"/>
        <v>PR Pierna ®</v>
      </c>
      <c r="D78" s="79">
        <f t="shared" si="20"/>
        <v>0.10000000000000142</v>
      </c>
      <c r="E78" s="79">
        <f t="shared" si="21"/>
        <v>46</v>
      </c>
      <c r="F78" s="79">
        <f t="shared" si="22"/>
        <v>46.1</v>
      </c>
      <c r="G78" s="109">
        <f t="shared" si="23"/>
        <v>46</v>
      </c>
      <c r="H78" s="109">
        <f t="shared" si="24"/>
        <v>46.1</v>
      </c>
      <c r="I78" s="79"/>
      <c r="J78" s="79"/>
    </row>
    <row r="79" spans="2:19" ht="18" customHeight="1" x14ac:dyDescent="0.2">
      <c r="B79" s="79">
        <f t="shared" si="25"/>
        <v>19</v>
      </c>
      <c r="C79" s="108" t="str">
        <f t="shared" si="25"/>
        <v>D Húmero ®</v>
      </c>
      <c r="D79" s="79">
        <f t="shared" si="20"/>
        <v>0.19999999999999929</v>
      </c>
      <c r="E79" s="79">
        <f t="shared" si="21"/>
        <v>0.5</v>
      </c>
      <c r="F79" s="79">
        <f t="shared" si="22"/>
        <v>0.30000000000000071</v>
      </c>
      <c r="G79" s="109">
        <f t="shared" si="23"/>
        <v>9</v>
      </c>
      <c r="H79" s="109">
        <f t="shared" si="24"/>
        <v>9.1999999999999993</v>
      </c>
      <c r="I79" s="79"/>
      <c r="J79" s="79"/>
    </row>
    <row r="80" spans="2:19" ht="18" customHeight="1" x14ac:dyDescent="0.2">
      <c r="B80" s="79">
        <f t="shared" si="25"/>
        <v>20</v>
      </c>
      <c r="C80" s="108" t="str">
        <f t="shared" si="25"/>
        <v>D Biestiloideo ®</v>
      </c>
      <c r="D80" s="79">
        <f t="shared" si="20"/>
        <v>0</v>
      </c>
      <c r="E80" s="79">
        <f t="shared" si="21"/>
        <v>8.6999999999999993</v>
      </c>
      <c r="F80" s="79">
        <f t="shared" si="22"/>
        <v>8.6999999999999993</v>
      </c>
      <c r="G80" s="109">
        <f t="shared" si="23"/>
        <v>8.6999999999999993</v>
      </c>
      <c r="H80" s="109">
        <f t="shared" si="24"/>
        <v>8.6999999999999993</v>
      </c>
      <c r="I80" s="79"/>
      <c r="J80" s="79"/>
    </row>
    <row r="81" spans="2:10" ht="18" customHeight="1" x14ac:dyDescent="0.2">
      <c r="B81" s="79">
        <f t="shared" si="25"/>
        <v>21</v>
      </c>
      <c r="C81" s="108" t="str">
        <f t="shared" si="25"/>
        <v>D Fémur ®</v>
      </c>
      <c r="D81" s="79">
        <f t="shared" si="20"/>
        <v>0.5</v>
      </c>
      <c r="E81" s="79">
        <f t="shared" si="21"/>
        <v>1.5</v>
      </c>
      <c r="F81" s="79">
        <f t="shared" si="22"/>
        <v>2</v>
      </c>
      <c r="G81" s="109">
        <f t="shared" si="23"/>
        <v>14</v>
      </c>
      <c r="H81" s="109">
        <f t="shared" si="24"/>
        <v>14.5</v>
      </c>
      <c r="I81" s="79"/>
      <c r="J81" s="79"/>
    </row>
  </sheetData>
  <sheetProtection algorithmName="SHA-512" hashValue="01WjKhNzyQqAM38F6wlNOkVUEjXVveKVEjlf2jO+qaxcZu8MuGzihCI31RTy2MjI4Qzko2ewvVWLgJPcSlFhzA==" saltValue="KS4f/F/8gf83M01fhCv6+A=="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96" priority="1">
      <formula>LEN(TRIM(D3))=0</formula>
    </cfRule>
  </conditionalFormatting>
  <conditionalFormatting sqref="D14:F34">
    <cfRule type="containsBlanks" dxfId="95" priority="5">
      <formula>LEN(TRIM(D14))=0</formula>
    </cfRule>
  </conditionalFormatting>
  <conditionalFormatting sqref="F14:F34">
    <cfRule type="expression" dxfId="94" priority="4">
      <formula>I14="No"</formula>
    </cfRule>
  </conditionalFormatting>
  <conditionalFormatting sqref="I14:I34">
    <cfRule type="expression" dxfId="93" priority="2">
      <formula>F14&lt;&gt;""</formula>
    </cfRule>
    <cfRule type="containsText" dxfId="92" priority="3" operator="containsText" text="Yes">
      <formula>NOT(ISERROR(SEARCH("Yes",I14)))</formula>
    </cfRule>
  </conditionalFormatting>
  <dataValidations count="2">
    <dataValidation type="list" allowBlank="1" showInputMessage="1" showErrorMessage="1" sqref="D7:F7" xr:uid="{F7B66781-1C89-7F4F-91DA-F9BB5E08BDAB}">
      <formula1>"1, 2"</formula1>
    </dataValidation>
    <dataValidation type="list" allowBlank="1" showInputMessage="1" showErrorMessage="1" sqref="D6:F6" xr:uid="{07C9CE25-AA10-C242-A6B7-867408CECC78}">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7DCD9-B59D-0849-B40F-7536ABAA3AEF}">
  <sheetPr>
    <pageSetUpPr fitToPage="1"/>
  </sheetPr>
  <dimension ref="B1:U81"/>
  <sheetViews>
    <sheetView showGridLines="0" topLeftCell="A11" zoomScale="63" zoomScaleNormal="75" zoomScaleSheetLayoutView="75" workbookViewId="0">
      <selection activeCell="E30" sqref="E30"/>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t="s">
        <v>68</v>
      </c>
      <c r="E3" s="264"/>
      <c r="F3" s="265"/>
      <c r="M3" s="77"/>
      <c r="N3" s="47" t="str">
        <f t="shared" ref="N3:N10" si="0">C3</f>
        <v>Nombre</v>
      </c>
      <c r="O3" s="269" t="str">
        <f>IF(D3="", "", D3)</f>
        <v>Cintya Belen</v>
      </c>
      <c r="P3" s="270"/>
      <c r="Q3" s="271"/>
      <c r="S3" s="78"/>
    </row>
    <row r="4" spans="2:21" ht="18" customHeight="1" thickBot="1" x14ac:dyDescent="0.25">
      <c r="C4" s="49" t="str">
        <f>'1'!C4</f>
        <v>Apellidos</v>
      </c>
      <c r="D4" s="260" t="s">
        <v>69</v>
      </c>
      <c r="E4" s="261"/>
      <c r="F4" s="262"/>
      <c r="M4" s="77"/>
      <c r="N4" s="49" t="str">
        <f t="shared" si="0"/>
        <v>Apellidos</v>
      </c>
      <c r="O4" s="266" t="str">
        <f t="shared" ref="O4:O10" si="1">IF(D4="", "", D4)</f>
        <v>Moreno Tapia</v>
      </c>
      <c r="P4" s="267"/>
      <c r="Q4" s="268"/>
      <c r="S4" s="78"/>
    </row>
    <row r="5" spans="2:21" ht="18" customHeight="1" thickBot="1" x14ac:dyDescent="0.25">
      <c r="C5" s="70" t="str">
        <f>'1'!C5</f>
        <v>País</v>
      </c>
      <c r="D5" s="249" t="s">
        <v>63</v>
      </c>
      <c r="E5" s="250"/>
      <c r="F5" s="251"/>
      <c r="M5" s="77"/>
      <c r="N5" s="70" t="str">
        <f t="shared" si="0"/>
        <v>País</v>
      </c>
      <c r="O5" s="281" t="str">
        <f t="shared" si="1"/>
        <v>Ecuador</v>
      </c>
      <c r="P5" s="282"/>
      <c r="Q5" s="283"/>
      <c r="S5" s="78"/>
    </row>
    <row r="6" spans="2:21" ht="18" customHeight="1" x14ac:dyDescent="0.2">
      <c r="C6" s="47" t="str">
        <f>'1'!C6</f>
        <v>Raza (asiático=1; afro-americano=2; caucásico=3)</v>
      </c>
      <c r="D6" s="263">
        <v>3</v>
      </c>
      <c r="E6" s="264"/>
      <c r="F6" s="265"/>
      <c r="M6" s="77"/>
      <c r="N6" s="47" t="str">
        <f t="shared" si="0"/>
        <v>Raza (asiático=1; afro-americano=2; caucásico=3)</v>
      </c>
      <c r="O6" s="278">
        <f t="shared" si="1"/>
        <v>3</v>
      </c>
      <c r="P6" s="279"/>
      <c r="Q6" s="280"/>
      <c r="S6" s="78"/>
    </row>
    <row r="7" spans="2:21" ht="18" customHeight="1" thickBot="1" x14ac:dyDescent="0.25">
      <c r="C7" s="49" t="str">
        <f>'1'!C7</f>
        <v>Sexo (hombre=1, mujer=2)</v>
      </c>
      <c r="D7" s="260">
        <v>2</v>
      </c>
      <c r="E7" s="261"/>
      <c r="F7" s="262"/>
      <c r="M7" s="77"/>
      <c r="N7" s="49" t="str">
        <f t="shared" si="0"/>
        <v>Sexo (hombre=1, mujer=2)</v>
      </c>
      <c r="O7" s="266">
        <f t="shared" si="1"/>
        <v>2</v>
      </c>
      <c r="P7" s="267"/>
      <c r="Q7" s="268"/>
      <c r="S7" s="78"/>
    </row>
    <row r="8" spans="2:21" ht="18" customHeight="1" thickBot="1" x14ac:dyDescent="0.25">
      <c r="C8" s="70" t="str">
        <f>'1'!C8</f>
        <v>Deporte</v>
      </c>
      <c r="D8" s="249" t="s">
        <v>70</v>
      </c>
      <c r="E8" s="250"/>
      <c r="F8" s="251"/>
      <c r="M8" s="77"/>
      <c r="N8" s="70" t="str">
        <f t="shared" si="0"/>
        <v>Deporte</v>
      </c>
      <c r="O8" s="281" t="str">
        <f t="shared" si="1"/>
        <v>Natación</v>
      </c>
      <c r="P8" s="282"/>
      <c r="Q8" s="283"/>
      <c r="S8" s="78"/>
    </row>
    <row r="9" spans="2:21" ht="18" customHeight="1" x14ac:dyDescent="0.2">
      <c r="C9" s="47" t="str">
        <f>'1'!C9</f>
        <v>Fecha de la Valoración</v>
      </c>
      <c r="D9" s="246">
        <v>45669</v>
      </c>
      <c r="E9" s="247"/>
      <c r="F9" s="248"/>
      <c r="M9" s="77"/>
      <c r="N9" s="47" t="str">
        <f t="shared" si="0"/>
        <v>Fecha de la Valoración</v>
      </c>
      <c r="O9" s="290">
        <f t="shared" si="1"/>
        <v>45669</v>
      </c>
      <c r="P9" s="291"/>
      <c r="Q9" s="292"/>
      <c r="S9" s="78"/>
    </row>
    <row r="10" spans="2:21" ht="18" customHeight="1" thickBot="1" x14ac:dyDescent="0.25">
      <c r="C10" s="49" t="str">
        <f>'1'!C10</f>
        <v>Fecha de Nacimiento</v>
      </c>
      <c r="D10" s="243">
        <v>33952</v>
      </c>
      <c r="E10" s="244"/>
      <c r="F10" s="245"/>
      <c r="K10" s="15"/>
      <c r="M10" s="77"/>
      <c r="N10" s="49" t="str">
        <f t="shared" si="0"/>
        <v>Fecha de Nacimiento</v>
      </c>
      <c r="O10" s="287">
        <f t="shared" si="1"/>
        <v>33952</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v>54.8</v>
      </c>
      <c r="E14" s="57">
        <v>54.8</v>
      </c>
      <c r="F14" s="58"/>
      <c r="H14" s="65">
        <f>IFERROR((E14-D14)/(AVERAGE(D14:E14)), "-")</f>
        <v>0</v>
      </c>
      <c r="I14" s="168" t="str">
        <f>IFERROR(IF(ABS(H14)&gt;1%, "Yes", "No"), "-")</f>
        <v>No</v>
      </c>
      <c r="K14" s="29">
        <f>IFERROR(MEDIAN(D14, E14, F14), "-")</f>
        <v>54.8</v>
      </c>
      <c r="M14" s="77"/>
      <c r="N14" s="95" t="str">
        <f t="shared" ref="N14:N34" si="2">C14</f>
        <v>Masa Corporal ®</v>
      </c>
      <c r="O14" s="96">
        <f t="shared" ref="O14:O34" si="3">IFERROR(K14, "-")</f>
        <v>54.8</v>
      </c>
      <c r="P14" s="97" t="s">
        <v>25</v>
      </c>
      <c r="Q14" s="85">
        <f>1/8.6*(+O14*((170.18/O$15)^3)-64.58)</f>
        <v>2.2772924048567265</v>
      </c>
      <c r="R14" s="86"/>
      <c r="S14" s="78"/>
    </row>
    <row r="15" spans="2:21" ht="18" customHeight="1" x14ac:dyDescent="0.2">
      <c r="B15" s="41">
        <f>'1'!B15</f>
        <v>2</v>
      </c>
      <c r="C15" s="42" t="str">
        <f>'1'!C15</f>
        <v>Talla ®</v>
      </c>
      <c r="D15" s="59">
        <v>147.5</v>
      </c>
      <c r="E15" s="60">
        <v>147.5</v>
      </c>
      <c r="F15" s="61"/>
      <c r="H15" s="66">
        <f t="shared" ref="H15:H34" si="4">IFERROR((E15-D15)/(AVERAGE(D15:E15)), "-")</f>
        <v>0</v>
      </c>
      <c r="I15" s="67" t="str">
        <f t="shared" ref="I15:I17" si="5">IFERROR(IF(ABS(H15)&gt;1%, "Yes", "No"), "-")</f>
        <v>No</v>
      </c>
      <c r="K15" s="69">
        <f t="shared" ref="K15:K34" si="6">IFERROR(MEDIAN(D15, E15, F15), "-")</f>
        <v>147.5</v>
      </c>
      <c r="M15" s="77"/>
      <c r="N15" s="93" t="str">
        <f t="shared" si="2"/>
        <v>Talla ®</v>
      </c>
      <c r="O15" s="26">
        <f t="shared" si="3"/>
        <v>147.5</v>
      </c>
      <c r="P15" s="83" t="s">
        <v>26</v>
      </c>
      <c r="Q15" s="87" t="s">
        <v>44</v>
      </c>
      <c r="R15" s="88"/>
      <c r="S15" s="78"/>
    </row>
    <row r="16" spans="2:21" ht="18" customHeight="1" x14ac:dyDescent="0.2">
      <c r="B16" s="41">
        <f>'1'!B16</f>
        <v>3</v>
      </c>
      <c r="C16" s="42" t="str">
        <f>'1'!C16</f>
        <v>Talla Sentado ®</v>
      </c>
      <c r="D16" s="59">
        <v>81</v>
      </c>
      <c r="E16" s="60">
        <v>81</v>
      </c>
      <c r="F16" s="61"/>
      <c r="H16" s="66">
        <f t="shared" si="4"/>
        <v>0</v>
      </c>
      <c r="I16" s="67" t="str">
        <f t="shared" si="5"/>
        <v>No</v>
      </c>
      <c r="K16" s="69">
        <f t="shared" si="6"/>
        <v>81</v>
      </c>
      <c r="M16" s="77"/>
      <c r="N16" s="93" t="str">
        <f t="shared" si="2"/>
        <v>Talla Sentado ®</v>
      </c>
      <c r="O16" s="26">
        <f t="shared" si="3"/>
        <v>81</v>
      </c>
      <c r="P16" s="83" t="s">
        <v>26</v>
      </c>
      <c r="Q16" s="87">
        <f>1/4.5*(+O16*((170.18/O$15)^1)-89.92)</f>
        <v>0.7855065913371011</v>
      </c>
      <c r="R16" s="88"/>
      <c r="S16" s="78"/>
    </row>
    <row r="17" spans="2:19" ht="18" customHeight="1" thickBot="1" x14ac:dyDescent="0.25">
      <c r="B17" s="44">
        <f>'1'!B17</f>
        <v>4</v>
      </c>
      <c r="C17" s="45" t="str">
        <f>'1'!C17</f>
        <v>Envergadura de Brazos ®</v>
      </c>
      <c r="D17" s="62">
        <v>151</v>
      </c>
      <c r="E17" s="63">
        <v>151</v>
      </c>
      <c r="F17" s="64"/>
      <c r="H17" s="68">
        <f t="shared" si="4"/>
        <v>0</v>
      </c>
      <c r="I17" s="36" t="str">
        <f t="shared" si="5"/>
        <v>No</v>
      </c>
      <c r="K17" s="33">
        <f t="shared" si="6"/>
        <v>151</v>
      </c>
      <c r="M17" s="77"/>
      <c r="N17" s="94" t="str">
        <f t="shared" si="2"/>
        <v>Envergadura de Brazos ®</v>
      </c>
      <c r="O17" s="28">
        <f t="shared" si="3"/>
        <v>151</v>
      </c>
      <c r="P17" s="84" t="s">
        <v>26</v>
      </c>
      <c r="Q17" s="89">
        <f>1/7.41*(+O17*((170.18/O$15)^1)-172.35)</f>
        <v>0.25211464123150656</v>
      </c>
      <c r="R17" s="90"/>
      <c r="S17" s="78"/>
    </row>
    <row r="18" spans="2:19" ht="18" customHeight="1" x14ac:dyDescent="0.2">
      <c r="B18" s="37">
        <f>'1'!B18</f>
        <v>5</v>
      </c>
      <c r="C18" s="38" t="str">
        <f>'1'!C18</f>
        <v>PL Tríceps ®</v>
      </c>
      <c r="D18" s="56">
        <v>24</v>
      </c>
      <c r="E18" s="57">
        <v>27</v>
      </c>
      <c r="F18" s="58">
        <v>26</v>
      </c>
      <c r="H18" s="65">
        <f t="shared" si="4"/>
        <v>0.11764705882352941</v>
      </c>
      <c r="I18" s="168" t="str">
        <f>IFERROR(IF(ABS(H18)&gt;5%, "Yes", "No"), "-")</f>
        <v>Yes</v>
      </c>
      <c r="K18" s="29">
        <f t="shared" si="6"/>
        <v>26</v>
      </c>
      <c r="M18" s="77"/>
      <c r="N18" s="92" t="str">
        <f t="shared" si="2"/>
        <v>PL Tríceps ®</v>
      </c>
      <c r="O18" s="25">
        <f t="shared" si="3"/>
        <v>26</v>
      </c>
      <c r="P18" s="82" t="s">
        <v>27</v>
      </c>
      <c r="Q18" s="85">
        <f>1/4.47*(+O18*((170.18/O$15)^1)-15.4)</f>
        <v>3.2657338945133287</v>
      </c>
      <c r="R18" s="91"/>
      <c r="S18" s="78"/>
    </row>
    <row r="19" spans="2:19" ht="18" customHeight="1" x14ac:dyDescent="0.2">
      <c r="B19" s="41">
        <f>'1'!B19</f>
        <v>6</v>
      </c>
      <c r="C19" s="42" t="str">
        <f>'1'!C19</f>
        <v>PL Subescapular ®</v>
      </c>
      <c r="D19" s="59">
        <v>23</v>
      </c>
      <c r="E19" s="60">
        <v>21</v>
      </c>
      <c r="F19" s="61">
        <v>23</v>
      </c>
      <c r="H19" s="66">
        <f t="shared" si="4"/>
        <v>-9.0909090909090912E-2</v>
      </c>
      <c r="I19" s="67" t="str">
        <f t="shared" ref="I19:I25" si="7">IFERROR(IF(ABS(H19)&gt;5%, "Yes", "No"), "-")</f>
        <v>Yes</v>
      </c>
      <c r="K19" s="69">
        <f t="shared" si="6"/>
        <v>23</v>
      </c>
      <c r="M19" s="77"/>
      <c r="N19" s="93" t="str">
        <f t="shared" si="2"/>
        <v>PL Subescapular ®</v>
      </c>
      <c r="O19" s="26">
        <f t="shared" si="3"/>
        <v>23</v>
      </c>
      <c r="P19" s="83" t="s">
        <v>27</v>
      </c>
      <c r="Q19" s="87">
        <f>1/5.07*(+O19*((170.18/O$15)^1)-17.2)</f>
        <v>1.8415270952428717</v>
      </c>
      <c r="R19" s="88"/>
      <c r="S19" s="78"/>
    </row>
    <row r="20" spans="2:19" ht="18" customHeight="1" x14ac:dyDescent="0.2">
      <c r="B20" s="41">
        <f>'1'!B20</f>
        <v>7</v>
      </c>
      <c r="C20" s="42" t="str">
        <f>'1'!C20</f>
        <v>PL Bíceps ®</v>
      </c>
      <c r="D20" s="59">
        <v>6</v>
      </c>
      <c r="E20" s="60">
        <v>6</v>
      </c>
      <c r="F20" s="61"/>
      <c r="H20" s="66">
        <f t="shared" si="4"/>
        <v>0</v>
      </c>
      <c r="I20" s="67" t="str">
        <f t="shared" si="7"/>
        <v>No</v>
      </c>
      <c r="K20" s="69">
        <f t="shared" si="6"/>
        <v>6</v>
      </c>
      <c r="M20" s="77"/>
      <c r="N20" s="93" t="str">
        <f t="shared" si="2"/>
        <v>PL Bíceps ®</v>
      </c>
      <c r="O20" s="26">
        <f t="shared" si="3"/>
        <v>6</v>
      </c>
      <c r="P20" s="83" t="s">
        <v>27</v>
      </c>
      <c r="Q20" s="87">
        <f>1/2*(+O20*((170.18/O$15)^1)-8)</f>
        <v>-0.53871186440677921</v>
      </c>
      <c r="R20" s="88"/>
      <c r="S20" s="78"/>
    </row>
    <row r="21" spans="2:19" ht="18" customHeight="1" x14ac:dyDescent="0.2">
      <c r="B21" s="41">
        <f>'1'!B21</f>
        <v>8</v>
      </c>
      <c r="C21" s="42" t="str">
        <f>'1'!C21</f>
        <v>PL Cresta Ilíaca ®</v>
      </c>
      <c r="D21" s="59">
        <v>18</v>
      </c>
      <c r="E21" s="60">
        <v>18</v>
      </c>
      <c r="F21" s="61"/>
      <c r="H21" s="66">
        <f t="shared" si="4"/>
        <v>0</v>
      </c>
      <c r="I21" s="67" t="str">
        <f t="shared" si="7"/>
        <v>No</v>
      </c>
      <c r="K21" s="69">
        <f t="shared" si="6"/>
        <v>18</v>
      </c>
      <c r="M21" s="77"/>
      <c r="N21" s="93" t="str">
        <f t="shared" si="2"/>
        <v>PL Cresta Ilíaca ®</v>
      </c>
      <c r="O21" s="26">
        <f t="shared" si="3"/>
        <v>18</v>
      </c>
      <c r="P21" s="83" t="s">
        <v>48</v>
      </c>
      <c r="Q21" s="87">
        <f>1/6.8*(+O21*((170.18/O$15)^1)-22.4)</f>
        <v>-0.2400398803589229</v>
      </c>
      <c r="R21" s="88"/>
      <c r="S21" s="78"/>
    </row>
    <row r="22" spans="2:19" ht="18" customHeight="1" x14ac:dyDescent="0.2">
      <c r="B22" s="41">
        <f>'1'!B22</f>
        <v>9</v>
      </c>
      <c r="C22" s="42" t="str">
        <f>'1'!C22</f>
        <v>PL Supraespinal ®</v>
      </c>
      <c r="D22" s="59">
        <v>16</v>
      </c>
      <c r="E22" s="60">
        <v>13</v>
      </c>
      <c r="F22" s="61">
        <v>20</v>
      </c>
      <c r="H22" s="66">
        <f t="shared" si="4"/>
        <v>-0.20689655172413793</v>
      </c>
      <c r="I22" s="67" t="str">
        <f t="shared" si="7"/>
        <v>Yes</v>
      </c>
      <c r="K22" s="69">
        <f t="shared" si="6"/>
        <v>16</v>
      </c>
      <c r="M22" s="77"/>
      <c r="N22" s="93" t="str">
        <f t="shared" si="2"/>
        <v>PL Supraespinal ®</v>
      </c>
      <c r="O22" s="26">
        <f t="shared" si="3"/>
        <v>16</v>
      </c>
      <c r="P22" s="83" t="s">
        <v>27</v>
      </c>
      <c r="Q22" s="87">
        <f>1/4.47*(+O22*((170.18/O$15)^1)-15.4)</f>
        <v>0.68460925946991291</v>
      </c>
      <c r="R22" s="88"/>
      <c r="S22" s="78"/>
    </row>
    <row r="23" spans="2:19" ht="18" customHeight="1" x14ac:dyDescent="0.2">
      <c r="B23" s="41">
        <f>'1'!B23</f>
        <v>10</v>
      </c>
      <c r="C23" s="42" t="str">
        <f>'1'!C23</f>
        <v>PL Abdominal ®</v>
      </c>
      <c r="D23" s="59">
        <v>24</v>
      </c>
      <c r="E23" s="60">
        <v>24</v>
      </c>
      <c r="F23" s="61"/>
      <c r="H23" s="66">
        <f t="shared" si="4"/>
        <v>0</v>
      </c>
      <c r="I23" s="67" t="str">
        <f t="shared" si="7"/>
        <v>No</v>
      </c>
      <c r="K23" s="69">
        <f t="shared" si="6"/>
        <v>24</v>
      </c>
      <c r="M23" s="77"/>
      <c r="N23" s="93" t="str">
        <f t="shared" si="2"/>
        <v>PL Abdominal ®</v>
      </c>
      <c r="O23" s="26">
        <f t="shared" si="3"/>
        <v>24</v>
      </c>
      <c r="P23" s="83" t="s">
        <v>27</v>
      </c>
      <c r="Q23" s="87">
        <f>1/7.78*(+O23*((170.18/O$15)^1)-25.4)</f>
        <v>0.29438368698531719</v>
      </c>
      <c r="R23" s="88"/>
      <c r="S23" s="78"/>
    </row>
    <row r="24" spans="2:19" ht="18" customHeight="1" x14ac:dyDescent="0.2">
      <c r="B24" s="41">
        <f>'1'!B24</f>
        <v>11</v>
      </c>
      <c r="C24" s="42" t="str">
        <f>'1'!C24</f>
        <v>PL Muslo ®</v>
      </c>
      <c r="D24" s="59">
        <v>34</v>
      </c>
      <c r="E24" s="60">
        <v>32</v>
      </c>
      <c r="F24" s="61">
        <v>31</v>
      </c>
      <c r="H24" s="66">
        <f t="shared" si="4"/>
        <v>-6.0606060606060608E-2</v>
      </c>
      <c r="I24" s="67" t="str">
        <f t="shared" si="7"/>
        <v>Yes</v>
      </c>
      <c r="K24" s="69">
        <f t="shared" si="6"/>
        <v>32</v>
      </c>
      <c r="M24" s="77"/>
      <c r="N24" s="93" t="str">
        <f t="shared" si="2"/>
        <v>PL Muslo ®</v>
      </c>
      <c r="O24" s="26">
        <f t="shared" si="3"/>
        <v>32</v>
      </c>
      <c r="P24" s="83" t="s">
        <v>27</v>
      </c>
      <c r="Q24" s="87">
        <f>1/8.33*(+O24*((170.18/O$15)^1)-27)</f>
        <v>1.1909251836327757</v>
      </c>
      <c r="R24" s="88"/>
      <c r="S24" s="78"/>
    </row>
    <row r="25" spans="2:19" ht="18" customHeight="1" thickBot="1" x14ac:dyDescent="0.25">
      <c r="B25" s="184">
        <f>'1'!B25</f>
        <v>12</v>
      </c>
      <c r="C25" s="185" t="str">
        <f>'1'!C25</f>
        <v>PL Pierna ®</v>
      </c>
      <c r="D25" s="186">
        <v>29</v>
      </c>
      <c r="E25" s="187">
        <v>25</v>
      </c>
      <c r="F25" s="188">
        <v>20</v>
      </c>
      <c r="H25" s="189">
        <f t="shared" si="4"/>
        <v>-0.14814814814814814</v>
      </c>
      <c r="I25" s="190" t="str">
        <f t="shared" si="7"/>
        <v>Yes</v>
      </c>
      <c r="K25" s="191">
        <f t="shared" si="6"/>
        <v>25</v>
      </c>
      <c r="M25" s="77"/>
      <c r="N25" s="94" t="str">
        <f t="shared" si="2"/>
        <v>PL Pierna ®</v>
      </c>
      <c r="O25" s="28">
        <f t="shared" si="3"/>
        <v>25</v>
      </c>
      <c r="P25" s="84" t="s">
        <v>27</v>
      </c>
      <c r="Q25" s="89">
        <f>1/4.67*(+O25*((170.18/O$15)^1)-16)</f>
        <v>2.7503357166188809</v>
      </c>
      <c r="R25" s="90"/>
      <c r="S25" s="78"/>
    </row>
    <row r="26" spans="2:19" ht="18" customHeight="1" x14ac:dyDescent="0.2">
      <c r="B26" s="37">
        <f>'1'!B26</f>
        <v>13</v>
      </c>
      <c r="C26" s="38" t="str">
        <f>'1'!C26</f>
        <v>PR Brazo Relajado ®</v>
      </c>
      <c r="D26" s="56">
        <v>27</v>
      </c>
      <c r="E26" s="57">
        <v>27</v>
      </c>
      <c r="F26" s="58"/>
      <c r="H26" s="65">
        <f t="shared" si="4"/>
        <v>0</v>
      </c>
      <c r="I26" s="168" t="str">
        <f t="shared" ref="I26:I34" si="8">IFERROR(IF(ABS(H26)&gt;1%, "Yes", "No"), "-")</f>
        <v>No</v>
      </c>
      <c r="K26" s="29">
        <f t="shared" si="6"/>
        <v>27</v>
      </c>
      <c r="M26" s="77"/>
      <c r="N26" s="93" t="str">
        <f t="shared" si="2"/>
        <v>PR Brazo Relajado ®</v>
      </c>
      <c r="O26" s="26">
        <f t="shared" si="3"/>
        <v>27</v>
      </c>
      <c r="P26" s="83" t="s">
        <v>26</v>
      </c>
      <c r="Q26" s="87">
        <f>1/2.33*(+O26*((170.18/O$15)^1)-26.89)</f>
        <v>1.8290099658107244</v>
      </c>
      <c r="R26" s="88"/>
      <c r="S26" s="78"/>
    </row>
    <row r="27" spans="2:19" ht="18" customHeight="1" x14ac:dyDescent="0.2">
      <c r="B27" s="41">
        <f>'1'!B27</f>
        <v>14</v>
      </c>
      <c r="C27" s="42" t="str">
        <f>'1'!C27</f>
        <v>PR Brazo Flexionado y Contraído ®</v>
      </c>
      <c r="D27" s="59">
        <v>26</v>
      </c>
      <c r="E27" s="60">
        <v>26</v>
      </c>
      <c r="F27" s="61"/>
      <c r="H27" s="66">
        <f t="shared" si="4"/>
        <v>0</v>
      </c>
      <c r="I27" s="67" t="str">
        <f t="shared" si="8"/>
        <v>No</v>
      </c>
      <c r="K27" s="69">
        <f t="shared" si="6"/>
        <v>26</v>
      </c>
      <c r="M27" s="77"/>
      <c r="N27" s="93" t="str">
        <f t="shared" si="2"/>
        <v>PR Brazo Flexionado y Contraído ®</v>
      </c>
      <c r="O27" s="26">
        <f t="shared" si="3"/>
        <v>26</v>
      </c>
      <c r="P27" s="83" t="s">
        <v>26</v>
      </c>
      <c r="Q27" s="87">
        <f>1/2.37*(+O27*((170.18/O$15)^1)-29.41)</f>
        <v>0.24802975041121444</v>
      </c>
      <c r="R27" s="88"/>
      <c r="S27" s="78"/>
    </row>
    <row r="28" spans="2:19" ht="18" customHeight="1" x14ac:dyDescent="0.2">
      <c r="B28" s="41">
        <f>'1'!B28</f>
        <v>15</v>
      </c>
      <c r="C28" s="42" t="str">
        <f>'1'!C28</f>
        <v>PR Cintura ®</v>
      </c>
      <c r="D28" s="59">
        <v>77</v>
      </c>
      <c r="E28" s="60">
        <v>79</v>
      </c>
      <c r="F28" s="61" t="s">
        <v>56</v>
      </c>
      <c r="H28" s="66">
        <f t="shared" si="4"/>
        <v>2.564102564102564E-2</v>
      </c>
      <c r="I28" s="67" t="str">
        <f t="shared" si="8"/>
        <v>Yes</v>
      </c>
      <c r="K28" s="69">
        <f t="shared" si="6"/>
        <v>78</v>
      </c>
      <c r="M28" s="77"/>
      <c r="N28" s="93" t="str">
        <f t="shared" si="2"/>
        <v>PR Cintura ®</v>
      </c>
      <c r="O28" s="26">
        <f t="shared" si="3"/>
        <v>78</v>
      </c>
      <c r="P28" s="83" t="s">
        <v>26</v>
      </c>
      <c r="Q28" s="87">
        <f>1/4.45*(+O28*((170.18/O$15)^1)-71.91)</f>
        <v>4.0637059607693793</v>
      </c>
      <c r="R28" s="88"/>
      <c r="S28" s="78"/>
    </row>
    <row r="29" spans="2:19" ht="18" customHeight="1" x14ac:dyDescent="0.2">
      <c r="B29" s="41">
        <f>'1'!B29</f>
        <v>16</v>
      </c>
      <c r="C29" s="42" t="str">
        <f>'1'!C29</f>
        <v>PR Caderas ®</v>
      </c>
      <c r="D29" s="59">
        <v>97</v>
      </c>
      <c r="E29" s="60">
        <v>97</v>
      </c>
      <c r="F29" s="61"/>
      <c r="H29" s="66">
        <f t="shared" si="4"/>
        <v>0</v>
      </c>
      <c r="I29" s="67" t="str">
        <f t="shared" si="8"/>
        <v>No</v>
      </c>
      <c r="K29" s="69">
        <f t="shared" si="6"/>
        <v>97</v>
      </c>
      <c r="M29" s="77"/>
      <c r="N29" s="93" t="str">
        <f t="shared" si="2"/>
        <v>PR Caderas ®</v>
      </c>
      <c r="O29" s="26">
        <f t="shared" si="3"/>
        <v>97</v>
      </c>
      <c r="P29" s="83" t="s">
        <v>26</v>
      </c>
      <c r="Q29" s="87">
        <f>1/5.58*(+O29*((170.18/O$15)^1)-94.67)</f>
        <v>3.0904987546321623</v>
      </c>
      <c r="R29" s="88"/>
      <c r="S29" s="78"/>
    </row>
    <row r="30" spans="2:19" ht="18" customHeight="1" x14ac:dyDescent="0.2">
      <c r="B30" s="41">
        <f>'1'!B30</f>
        <v>17</v>
      </c>
      <c r="C30" s="42" t="str">
        <f>'1'!C30</f>
        <v>PR Muslo Medio ®</v>
      </c>
      <c r="D30" s="59">
        <v>52.5</v>
      </c>
      <c r="E30" s="60">
        <v>52.5</v>
      </c>
      <c r="F30" s="61"/>
      <c r="H30" s="66">
        <f t="shared" si="4"/>
        <v>0</v>
      </c>
      <c r="I30" s="67" t="str">
        <f t="shared" si="8"/>
        <v>No</v>
      </c>
      <c r="K30" s="69">
        <f t="shared" si="6"/>
        <v>52.5</v>
      </c>
      <c r="M30" s="77"/>
      <c r="N30" s="93" t="str">
        <f t="shared" si="2"/>
        <v>PR Muslo Medio ®</v>
      </c>
      <c r="O30" s="26">
        <f t="shared" si="3"/>
        <v>52.5</v>
      </c>
      <c r="P30" s="83" t="s">
        <v>26</v>
      </c>
      <c r="Q30" s="87">
        <f>1/4.56*(+O30*((170.18/O$15)^1)-53.2)</f>
        <v>1.6167856080880181</v>
      </c>
      <c r="R30" s="88"/>
      <c r="S30" s="78"/>
    </row>
    <row r="31" spans="2:19" ht="18" customHeight="1" thickBot="1" x14ac:dyDescent="0.25">
      <c r="B31" s="44">
        <f>'1'!B31</f>
        <v>18</v>
      </c>
      <c r="C31" s="45" t="str">
        <f>'1'!C31</f>
        <v>PR Pierna ®</v>
      </c>
      <c r="D31" s="62" t="s">
        <v>55</v>
      </c>
      <c r="E31" s="63" t="s">
        <v>55</v>
      </c>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t="s">
        <v>57</v>
      </c>
      <c r="E32" s="57" t="s">
        <v>58</v>
      </c>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v>5</v>
      </c>
      <c r="E33" s="60" t="s">
        <v>59</v>
      </c>
      <c r="F33" s="61"/>
      <c r="H33" s="66" t="str">
        <f t="shared" si="4"/>
        <v>-</v>
      </c>
      <c r="I33" s="67" t="str">
        <f t="shared" si="8"/>
        <v>-</v>
      </c>
      <c r="K33" s="69">
        <f t="shared" si="6"/>
        <v>5</v>
      </c>
      <c r="M33" s="77"/>
      <c r="N33" s="93" t="str">
        <f t="shared" si="2"/>
        <v>D Biestiloideo ®</v>
      </c>
      <c r="O33" s="26">
        <f t="shared" si="3"/>
        <v>5</v>
      </c>
      <c r="P33" s="83" t="s">
        <v>26</v>
      </c>
      <c r="Q33" s="87">
        <f>1/0.28*(+O33*((170.18/O$15)^1)-5.21)</f>
        <v>1.9957627118644095</v>
      </c>
      <c r="R33" s="88"/>
      <c r="S33" s="78"/>
    </row>
    <row r="34" spans="2:19" ht="18" customHeight="1" thickBot="1" x14ac:dyDescent="0.25">
      <c r="B34" s="44">
        <f>'1'!B34</f>
        <v>21</v>
      </c>
      <c r="C34" s="45" t="str">
        <f>'1'!C34</f>
        <v>D Fémur ®</v>
      </c>
      <c r="D34" s="62" t="s">
        <v>60</v>
      </c>
      <c r="E34" s="63" t="s">
        <v>60</v>
      </c>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f>IFERROR(K26-PI()*(K18/10), "-")</f>
        <v>18.831859100666538</v>
      </c>
      <c r="P35" s="82" t="s">
        <v>26</v>
      </c>
      <c r="Q35" s="85">
        <f>1/1.91*(+O35*((170.18/O$15)^1)-22.05)</f>
        <v>-0.16884982961600167</v>
      </c>
      <c r="R35" s="91"/>
      <c r="S35" s="78"/>
    </row>
    <row r="36" spans="2:19" ht="18" customHeight="1" x14ac:dyDescent="0.2">
      <c r="K36" s="19"/>
      <c r="M36" s="77"/>
      <c r="N36" s="93" t="str">
        <f>IF(Info!J3, "Corrected Thigh Girth", "PR Muslo Corregido")</f>
        <v>PR Muslo Corregido</v>
      </c>
      <c r="O36" s="26">
        <f>IFERROR(K30-PI()*(K24/10), "-")</f>
        <v>42.446903508512662</v>
      </c>
      <c r="P36" s="83" t="s">
        <v>26</v>
      </c>
      <c r="Q36" s="87">
        <f>1/3.59*(+O36*((170.18/O$15)^1)-47.34)</f>
        <v>0.45505696440901794</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0</v>
      </c>
      <c r="F38" s="79">
        <f t="shared" ref="F38:F58" si="12">IF(E14=F14, 1, 0)</f>
        <v>0</v>
      </c>
      <c r="G38" s="79">
        <f t="shared" ref="G38:G58" si="13">IF(F14="", 0, 1)</f>
        <v>0</v>
      </c>
      <c r="H38" s="79">
        <f t="shared" ref="H38:H58" si="14">IF(I14="Yes", 1, 0)</f>
        <v>0</v>
      </c>
      <c r="I38" s="79">
        <f t="shared" ref="I38:J53" si="15">COUNTIF(D14, "")</f>
        <v>0</v>
      </c>
      <c r="J38" s="79">
        <f t="shared" si="15"/>
        <v>0</v>
      </c>
      <c r="K38" s="19"/>
      <c r="M38" s="77"/>
      <c r="S38" s="78"/>
    </row>
    <row r="39" spans="2:19" ht="18" customHeight="1" thickBot="1" x14ac:dyDescent="0.25">
      <c r="B39" s="79">
        <f t="shared" si="9"/>
        <v>2</v>
      </c>
      <c r="C39" s="108" t="str">
        <f t="shared" si="9"/>
        <v>Talla ®</v>
      </c>
      <c r="D39" s="79">
        <f t="shared" si="10"/>
        <v>1</v>
      </c>
      <c r="E39" s="79">
        <f t="shared" si="11"/>
        <v>0</v>
      </c>
      <c r="F39" s="79">
        <f t="shared" si="12"/>
        <v>0</v>
      </c>
      <c r="G39" s="79">
        <f t="shared" si="13"/>
        <v>0</v>
      </c>
      <c r="H39" s="79">
        <f t="shared" si="14"/>
        <v>0</v>
      </c>
      <c r="I39" s="79">
        <f t="shared" si="15"/>
        <v>0</v>
      </c>
      <c r="J39" s="79">
        <f t="shared" si="15"/>
        <v>0</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0</v>
      </c>
      <c r="F40" s="79">
        <f t="shared" si="12"/>
        <v>0</v>
      </c>
      <c r="G40" s="79">
        <f t="shared" si="13"/>
        <v>0</v>
      </c>
      <c r="H40" s="79">
        <f t="shared" si="14"/>
        <v>0</v>
      </c>
      <c r="I40" s="79">
        <f t="shared" si="15"/>
        <v>0</v>
      </c>
      <c r="J40" s="79">
        <f t="shared" si="15"/>
        <v>0</v>
      </c>
      <c r="K40" s="19"/>
      <c r="M40" s="77"/>
      <c r="N40" s="100" t="str">
        <f>'1'!N40</f>
        <v>Endomorfia</v>
      </c>
      <c r="O40" s="276">
        <f>IFERROR(-0.7182+0.1451*((O18+O19+O22)*(170.18/O15))-0.00068*(((O18+O19+O22)*(170.18/O15))^2)+0.0000014*(((O18+O19+O22)*(170.18/O15))^3), "-")</f>
        <v>6.9295630909575499</v>
      </c>
      <c r="P40" s="277"/>
      <c r="R40" s="19"/>
      <c r="S40" s="78"/>
    </row>
    <row r="41" spans="2:19" ht="18" customHeight="1" x14ac:dyDescent="0.2">
      <c r="B41" s="79">
        <f t="shared" si="9"/>
        <v>4</v>
      </c>
      <c r="C41" s="108" t="str">
        <f t="shared" si="9"/>
        <v>Envergadura de Brazos ®</v>
      </c>
      <c r="D41" s="79">
        <f t="shared" si="10"/>
        <v>1</v>
      </c>
      <c r="E41" s="79">
        <f t="shared" si="11"/>
        <v>0</v>
      </c>
      <c r="F41" s="79">
        <f t="shared" si="12"/>
        <v>0</v>
      </c>
      <c r="G41" s="79">
        <f t="shared" si="13"/>
        <v>0</v>
      </c>
      <c r="H41" s="79">
        <f t="shared" si="14"/>
        <v>0</v>
      </c>
      <c r="I41" s="79">
        <f t="shared" si="15"/>
        <v>0</v>
      </c>
      <c r="J41" s="79">
        <f t="shared" si="15"/>
        <v>0</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0</v>
      </c>
      <c r="E42" s="79">
        <f t="shared" si="11"/>
        <v>0</v>
      </c>
      <c r="F42" s="79">
        <f t="shared" si="12"/>
        <v>0</v>
      </c>
      <c r="G42" s="79">
        <f t="shared" si="13"/>
        <v>1</v>
      </c>
      <c r="H42" s="79">
        <f t="shared" si="14"/>
        <v>1</v>
      </c>
      <c r="I42" s="79">
        <f t="shared" si="15"/>
        <v>0</v>
      </c>
      <c r="J42" s="79">
        <f t="shared" si="15"/>
        <v>0</v>
      </c>
      <c r="K42" s="19"/>
      <c r="M42" s="77"/>
      <c r="N42" s="34" t="str">
        <f>'1'!N42</f>
        <v>Ectomorfia</v>
      </c>
      <c r="O42" s="272">
        <f>IFERROR(IF(O15/(O14^0.3333)&gt;40.75, ((0.732*O15/(O14^0.3333))-28.58), IF(O15/(O14^0.3333)&gt;38.28, ((0.463*O15/(O14^0.3333))-17.63), 0.1)), "-")</f>
        <v>0.35197755266141684</v>
      </c>
      <c r="P42" s="273"/>
      <c r="R42" s="53"/>
      <c r="S42" s="78"/>
    </row>
    <row r="43" spans="2:19" ht="18" customHeight="1" x14ac:dyDescent="0.2">
      <c r="B43" s="79">
        <f t="shared" si="9"/>
        <v>6</v>
      </c>
      <c r="C43" s="108" t="str">
        <f t="shared" si="9"/>
        <v>PL Subescapular ®</v>
      </c>
      <c r="D43" s="79">
        <f t="shared" si="10"/>
        <v>0</v>
      </c>
      <c r="E43" s="79">
        <f t="shared" si="11"/>
        <v>1</v>
      </c>
      <c r="F43" s="79">
        <f t="shared" si="12"/>
        <v>0</v>
      </c>
      <c r="G43" s="79">
        <f t="shared" si="13"/>
        <v>1</v>
      </c>
      <c r="H43" s="79">
        <f t="shared" si="14"/>
        <v>1</v>
      </c>
      <c r="I43" s="79">
        <f t="shared" si="15"/>
        <v>0</v>
      </c>
      <c r="J43" s="79">
        <f t="shared" si="15"/>
        <v>0</v>
      </c>
      <c r="K43" s="19"/>
      <c r="M43" s="77"/>
      <c r="N43" s="100" t="str">
        <f>'1'!N43</f>
        <v>X</v>
      </c>
      <c r="O43" s="276">
        <f>IFERROR(O42-O40, "-")</f>
        <v>-6.577585538296133</v>
      </c>
      <c r="P43" s="277"/>
      <c r="S43" s="78"/>
    </row>
    <row r="44" spans="2:19" ht="18" customHeight="1" thickBot="1" x14ac:dyDescent="0.25">
      <c r="B44" s="79">
        <f t="shared" si="9"/>
        <v>7</v>
      </c>
      <c r="C44" s="108" t="str">
        <f t="shared" si="9"/>
        <v>PL Bíceps ®</v>
      </c>
      <c r="D44" s="79">
        <f t="shared" si="10"/>
        <v>1</v>
      </c>
      <c r="E44" s="79">
        <f t="shared" si="11"/>
        <v>0</v>
      </c>
      <c r="F44" s="79">
        <f t="shared" si="12"/>
        <v>0</v>
      </c>
      <c r="G44" s="79">
        <f t="shared" si="13"/>
        <v>0</v>
      </c>
      <c r="H44" s="79">
        <f t="shared" si="14"/>
        <v>0</v>
      </c>
      <c r="I44" s="79">
        <f t="shared" si="15"/>
        <v>0</v>
      </c>
      <c r="J44" s="79">
        <f t="shared" si="15"/>
        <v>0</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0</v>
      </c>
      <c r="F45" s="79">
        <f t="shared" si="12"/>
        <v>0</v>
      </c>
      <c r="G45" s="79">
        <f t="shared" si="13"/>
        <v>0</v>
      </c>
      <c r="H45" s="79">
        <f t="shared" si="14"/>
        <v>0</v>
      </c>
      <c r="I45" s="79">
        <f t="shared" si="15"/>
        <v>0</v>
      </c>
      <c r="J45" s="79">
        <f t="shared" si="15"/>
        <v>0</v>
      </c>
      <c r="K45" s="19"/>
      <c r="M45" s="77"/>
      <c r="S45" s="78"/>
    </row>
    <row r="46" spans="2:19" ht="18" customHeight="1" thickBot="1" x14ac:dyDescent="0.25">
      <c r="B46" s="79">
        <f t="shared" si="9"/>
        <v>9</v>
      </c>
      <c r="C46" s="108" t="str">
        <f t="shared" si="9"/>
        <v>PL Supraespinal ®</v>
      </c>
      <c r="D46" s="79">
        <f t="shared" si="10"/>
        <v>0</v>
      </c>
      <c r="E46" s="79">
        <f t="shared" si="11"/>
        <v>0</v>
      </c>
      <c r="F46" s="79">
        <f t="shared" si="12"/>
        <v>0</v>
      </c>
      <c r="G46" s="79">
        <f t="shared" si="13"/>
        <v>1</v>
      </c>
      <c r="H46" s="79">
        <f t="shared" si="14"/>
        <v>1</v>
      </c>
      <c r="I46" s="79">
        <f t="shared" si="15"/>
        <v>0</v>
      </c>
      <c r="J46" s="79">
        <f t="shared" si="15"/>
        <v>0</v>
      </c>
      <c r="M46" s="77"/>
      <c r="N46" s="72" t="str">
        <f>'1'!N46</f>
        <v>Índice de Masa Corporal (IMC)</v>
      </c>
      <c r="O46" s="102">
        <f>IFERROR(O14/(O15/100)^2, "-")</f>
        <v>25.188164320597526</v>
      </c>
      <c r="P46" s="104" t="s">
        <v>34</v>
      </c>
      <c r="S46" s="78"/>
    </row>
    <row r="47" spans="2:19" ht="18" customHeight="1" thickBot="1" x14ac:dyDescent="0.25">
      <c r="B47" s="79">
        <f t="shared" si="9"/>
        <v>10</v>
      </c>
      <c r="C47" s="108" t="str">
        <f t="shared" si="9"/>
        <v>PL Abdominal ®</v>
      </c>
      <c r="D47" s="79">
        <f t="shared" si="10"/>
        <v>1</v>
      </c>
      <c r="E47" s="79">
        <f t="shared" si="11"/>
        <v>0</v>
      </c>
      <c r="F47" s="79">
        <f t="shared" si="12"/>
        <v>0</v>
      </c>
      <c r="G47" s="79">
        <f t="shared" si="13"/>
        <v>0</v>
      </c>
      <c r="H47" s="79">
        <f t="shared" si="14"/>
        <v>0</v>
      </c>
      <c r="I47" s="79">
        <f t="shared" si="15"/>
        <v>0</v>
      </c>
      <c r="J47" s="79">
        <f t="shared" si="15"/>
        <v>0</v>
      </c>
      <c r="M47" s="77"/>
      <c r="S47" s="78"/>
    </row>
    <row r="48" spans="2:19" ht="18" customHeight="1" thickBot="1" x14ac:dyDescent="0.25">
      <c r="B48" s="79">
        <f t="shared" si="9"/>
        <v>11</v>
      </c>
      <c r="C48" s="108" t="str">
        <f t="shared" si="9"/>
        <v>PL Muslo ®</v>
      </c>
      <c r="D48" s="79">
        <f t="shared" si="10"/>
        <v>0</v>
      </c>
      <c r="E48" s="79">
        <f t="shared" si="11"/>
        <v>0</v>
      </c>
      <c r="F48" s="79">
        <f t="shared" si="12"/>
        <v>0</v>
      </c>
      <c r="G48" s="79">
        <f t="shared" si="13"/>
        <v>1</v>
      </c>
      <c r="H48" s="79">
        <f t="shared" si="14"/>
        <v>1</v>
      </c>
      <c r="I48" s="79">
        <f t="shared" si="15"/>
        <v>0</v>
      </c>
      <c r="J48" s="79">
        <f t="shared" si="15"/>
        <v>0</v>
      </c>
      <c r="M48" s="77"/>
      <c r="N48" s="72" t="str">
        <f>'1'!N48</f>
        <v>Índice Cintura/Cadera</v>
      </c>
      <c r="O48" s="293">
        <f>IFERROR(O28/O29, "-")</f>
        <v>0.80412371134020622</v>
      </c>
      <c r="P48" s="294"/>
      <c r="Q48" s="53"/>
      <c r="S48" s="78"/>
    </row>
    <row r="49" spans="2:19" ht="18" customHeight="1" thickBot="1" x14ac:dyDescent="0.25">
      <c r="B49" s="79">
        <f t="shared" si="9"/>
        <v>12</v>
      </c>
      <c r="C49" s="108" t="str">
        <f t="shared" si="9"/>
        <v>PL Pierna ®</v>
      </c>
      <c r="D49" s="79">
        <f t="shared" si="10"/>
        <v>0</v>
      </c>
      <c r="E49" s="79">
        <f t="shared" si="11"/>
        <v>0</v>
      </c>
      <c r="F49" s="79">
        <f t="shared" si="12"/>
        <v>0</v>
      </c>
      <c r="G49" s="79">
        <f t="shared" si="13"/>
        <v>1</v>
      </c>
      <c r="H49" s="79">
        <f t="shared" si="14"/>
        <v>1</v>
      </c>
      <c r="I49" s="79">
        <f t="shared" si="15"/>
        <v>0</v>
      </c>
      <c r="J49" s="79">
        <f t="shared" si="15"/>
        <v>0</v>
      </c>
      <c r="M49" s="77"/>
      <c r="S49" s="78"/>
    </row>
    <row r="50" spans="2:19" ht="18" customHeight="1" thickBot="1" x14ac:dyDescent="0.25">
      <c r="B50" s="79">
        <f t="shared" si="9"/>
        <v>13</v>
      </c>
      <c r="C50" s="108" t="str">
        <f t="shared" si="9"/>
        <v>PR Brazo Relajado ®</v>
      </c>
      <c r="D50" s="79">
        <f t="shared" si="10"/>
        <v>1</v>
      </c>
      <c r="E50" s="79">
        <f t="shared" si="11"/>
        <v>0</v>
      </c>
      <c r="F50" s="79">
        <f t="shared" si="12"/>
        <v>0</v>
      </c>
      <c r="G50" s="79">
        <f t="shared" si="13"/>
        <v>0</v>
      </c>
      <c r="H50" s="79">
        <f t="shared" si="14"/>
        <v>0</v>
      </c>
      <c r="I50" s="79">
        <f t="shared" si="15"/>
        <v>0</v>
      </c>
      <c r="J50" s="79">
        <f t="shared" si="15"/>
        <v>0</v>
      </c>
      <c r="M50" s="77"/>
      <c r="N50" s="72" t="str">
        <f>'1'!N50</f>
        <v>Índice Cintura/Talla</v>
      </c>
      <c r="O50" s="293">
        <f>IFERROR(O28/O15, "-")</f>
        <v>0.52881355932203389</v>
      </c>
      <c r="P50" s="294"/>
      <c r="S50" s="78"/>
    </row>
    <row r="51" spans="2:19" ht="18" customHeight="1" thickBot="1" x14ac:dyDescent="0.25">
      <c r="B51" s="79">
        <f t="shared" si="9"/>
        <v>14</v>
      </c>
      <c r="C51" s="108" t="str">
        <f t="shared" si="9"/>
        <v>PR Brazo Flexionado y Contraído ®</v>
      </c>
      <c r="D51" s="79">
        <f t="shared" si="10"/>
        <v>1</v>
      </c>
      <c r="E51" s="79">
        <f t="shared" si="11"/>
        <v>0</v>
      </c>
      <c r="F51" s="79">
        <f t="shared" si="12"/>
        <v>0</v>
      </c>
      <c r="G51" s="79">
        <f t="shared" si="13"/>
        <v>0</v>
      </c>
      <c r="H51" s="79">
        <f t="shared" si="14"/>
        <v>0</v>
      </c>
      <c r="I51" s="79">
        <f t="shared" si="15"/>
        <v>0</v>
      </c>
      <c r="J51" s="79">
        <f t="shared" si="15"/>
        <v>0</v>
      </c>
      <c r="M51" s="77"/>
      <c r="Q51" s="53"/>
      <c r="S51" s="78"/>
    </row>
    <row r="52" spans="2:19" ht="18" customHeight="1" thickBot="1" x14ac:dyDescent="0.25">
      <c r="B52" s="79">
        <f t="shared" si="9"/>
        <v>15</v>
      </c>
      <c r="C52" s="108" t="str">
        <f t="shared" si="9"/>
        <v>PR Cintura ®</v>
      </c>
      <c r="D52" s="79">
        <f t="shared" si="10"/>
        <v>0</v>
      </c>
      <c r="E52" s="79">
        <f t="shared" si="11"/>
        <v>0</v>
      </c>
      <c r="F52" s="79">
        <f t="shared" si="12"/>
        <v>0</v>
      </c>
      <c r="G52" s="79">
        <f t="shared" si="13"/>
        <v>1</v>
      </c>
      <c r="H52" s="79">
        <f t="shared" si="14"/>
        <v>1</v>
      </c>
      <c r="I52" s="79">
        <f t="shared" si="15"/>
        <v>0</v>
      </c>
      <c r="J52" s="79">
        <f t="shared" si="15"/>
        <v>0</v>
      </c>
      <c r="M52" s="77"/>
      <c r="N52" s="72" t="str">
        <f>'1'!N52</f>
        <v>Sumatorio de 8 pliegues</v>
      </c>
      <c r="O52" s="103">
        <f>IFERROR(SUM(O18:O25), "-")</f>
        <v>170</v>
      </c>
      <c r="P52" s="104" t="s">
        <v>27</v>
      </c>
      <c r="S52" s="78"/>
    </row>
    <row r="53" spans="2:19" ht="18" customHeight="1" thickBot="1" x14ac:dyDescent="0.25">
      <c r="B53" s="79">
        <f t="shared" si="9"/>
        <v>16</v>
      </c>
      <c r="C53" s="108" t="str">
        <f t="shared" si="9"/>
        <v>PR Caderas ®</v>
      </c>
      <c r="D53" s="79">
        <f t="shared" si="10"/>
        <v>1</v>
      </c>
      <c r="E53" s="79">
        <f t="shared" si="11"/>
        <v>0</v>
      </c>
      <c r="F53" s="79">
        <f t="shared" si="12"/>
        <v>0</v>
      </c>
      <c r="G53" s="79">
        <f t="shared" si="13"/>
        <v>0</v>
      </c>
      <c r="H53" s="79">
        <f t="shared" si="14"/>
        <v>0</v>
      </c>
      <c r="I53" s="79">
        <f t="shared" si="15"/>
        <v>0</v>
      </c>
      <c r="J53" s="79">
        <f t="shared" si="15"/>
        <v>0</v>
      </c>
      <c r="M53" s="77"/>
      <c r="P53" s="18"/>
      <c r="S53" s="78"/>
    </row>
    <row r="54" spans="2:19" ht="18" customHeight="1" thickBot="1" x14ac:dyDescent="0.25">
      <c r="B54" s="79">
        <f t="shared" ref="B54:C58" si="16">B30</f>
        <v>17</v>
      </c>
      <c r="C54" s="108" t="str">
        <f t="shared" si="16"/>
        <v>PR Muslo Medio ®</v>
      </c>
      <c r="D54" s="79">
        <f t="shared" si="10"/>
        <v>1</v>
      </c>
      <c r="E54" s="79">
        <f t="shared" si="11"/>
        <v>0</v>
      </c>
      <c r="F54" s="79">
        <f t="shared" si="12"/>
        <v>0</v>
      </c>
      <c r="G54" s="79">
        <f t="shared" si="13"/>
        <v>0</v>
      </c>
      <c r="H54" s="79">
        <f t="shared" si="14"/>
        <v>0</v>
      </c>
      <c r="I54" s="79">
        <f t="shared" ref="I54:J58" si="17">COUNTIF(D30, "")</f>
        <v>0</v>
      </c>
      <c r="J54" s="79">
        <f t="shared" si="17"/>
        <v>0</v>
      </c>
      <c r="M54" s="77"/>
      <c r="N54" s="72" t="str">
        <f>'1'!N54</f>
        <v>Sumatorio de 6 pliegues</v>
      </c>
      <c r="O54" s="103">
        <f>IFERROR(SUM(O18:O19, O22:O25), "-")</f>
        <v>146</v>
      </c>
      <c r="P54" s="104" t="s">
        <v>27</v>
      </c>
      <c r="S54" s="78"/>
    </row>
    <row r="55" spans="2:19" ht="18" customHeight="1" thickBot="1" x14ac:dyDescent="0.25">
      <c r="B55" s="79">
        <f t="shared" si="16"/>
        <v>18</v>
      </c>
      <c r="C55" s="108" t="str">
        <f t="shared" si="16"/>
        <v>PR Pierna ®</v>
      </c>
      <c r="D55" s="79">
        <f t="shared" si="10"/>
        <v>1</v>
      </c>
      <c r="E55" s="79">
        <f t="shared" si="11"/>
        <v>0</v>
      </c>
      <c r="F55" s="79">
        <f t="shared" si="12"/>
        <v>0</v>
      </c>
      <c r="G55" s="79">
        <f t="shared" si="13"/>
        <v>0</v>
      </c>
      <c r="H55" s="79">
        <f t="shared" si="14"/>
        <v>0</v>
      </c>
      <c r="I55" s="79">
        <f t="shared" si="17"/>
        <v>0</v>
      </c>
      <c r="J55" s="79">
        <f t="shared" si="17"/>
        <v>0</v>
      </c>
      <c r="M55" s="77"/>
      <c r="S55" s="78"/>
    </row>
    <row r="56" spans="2:19" ht="18" customHeight="1" thickBot="1" x14ac:dyDescent="0.25">
      <c r="B56" s="79">
        <f t="shared" si="16"/>
        <v>19</v>
      </c>
      <c r="C56" s="108" t="str">
        <f t="shared" si="16"/>
        <v>D Húmero ®</v>
      </c>
      <c r="D56" s="79">
        <f t="shared" si="10"/>
        <v>0</v>
      </c>
      <c r="E56" s="79">
        <f t="shared" si="11"/>
        <v>0</v>
      </c>
      <c r="F56" s="79">
        <f t="shared" si="12"/>
        <v>0</v>
      </c>
      <c r="G56" s="79">
        <f t="shared" si="13"/>
        <v>0</v>
      </c>
      <c r="H56" s="79">
        <f t="shared" si="14"/>
        <v>0</v>
      </c>
      <c r="I56" s="79">
        <f t="shared" si="17"/>
        <v>0</v>
      </c>
      <c r="J56" s="79">
        <f t="shared" si="17"/>
        <v>0</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0</v>
      </c>
      <c r="E57" s="79">
        <f t="shared" si="11"/>
        <v>0</v>
      </c>
      <c r="F57" s="79">
        <f t="shared" si="12"/>
        <v>0</v>
      </c>
      <c r="G57" s="79">
        <f t="shared" si="13"/>
        <v>0</v>
      </c>
      <c r="H57" s="79">
        <f t="shared" si="14"/>
        <v>0</v>
      </c>
      <c r="I57" s="79">
        <f t="shared" si="17"/>
        <v>0</v>
      </c>
      <c r="J57" s="79">
        <f t="shared" si="17"/>
        <v>0</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0</v>
      </c>
      <c r="F58" s="79">
        <f t="shared" si="12"/>
        <v>0</v>
      </c>
      <c r="G58" s="79">
        <f t="shared" si="13"/>
        <v>0</v>
      </c>
      <c r="H58" s="79">
        <f t="shared" si="14"/>
        <v>0</v>
      </c>
      <c r="I58" s="79">
        <f t="shared" si="17"/>
        <v>0</v>
      </c>
      <c r="J58" s="79">
        <f t="shared" si="17"/>
        <v>0</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13</v>
      </c>
      <c r="E59" s="79">
        <f t="shared" si="18"/>
        <v>1</v>
      </c>
      <c r="F59" s="79">
        <f t="shared" si="18"/>
        <v>0</v>
      </c>
      <c r="G59" s="79">
        <f t="shared" si="18"/>
        <v>6</v>
      </c>
      <c r="H59" s="79">
        <f t="shared" si="18"/>
        <v>6</v>
      </c>
      <c r="I59" s="79">
        <f t="shared" si="18"/>
        <v>0</v>
      </c>
      <c r="J59" s="79">
        <f t="shared" si="18"/>
        <v>0</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54.8</v>
      </c>
      <c r="F61" s="79">
        <f t="shared" ref="F61:F81" si="22">ABS(E14-F14)</f>
        <v>54.8</v>
      </c>
      <c r="G61" s="109">
        <f t="shared" ref="G61:G81" si="23">IF(D61=MIN(D61:F61), D14, IF(E61=MIN(D61:F61), D14, E14))</f>
        <v>54.8</v>
      </c>
      <c r="H61" s="109">
        <f t="shared" ref="H61:H81" si="24">IF(D61=MIN(D61:F61), E14, IF(E61=MIN(D61:F61), F14, F14))</f>
        <v>54.8</v>
      </c>
      <c r="I61" s="79"/>
      <c r="J61" s="79"/>
      <c r="M61" s="77"/>
      <c r="N61" s="215" t="str">
        <f>'1'!N61</f>
        <v>Masa Adiposa - Kerr</v>
      </c>
      <c r="O61" s="216">
        <f>IFERROR(P61/O14, "-")</f>
        <v>0.40813433304466445</v>
      </c>
      <c r="P61" s="217">
        <f>IFERROR((((((O54*(170.18/O15)-116.41)/34.79)*5.85)+25.6)/(170.18/O15)^3), "-")</f>
        <v>22.365761450847611</v>
      </c>
      <c r="S61" s="78"/>
    </row>
    <row r="62" spans="2:19" ht="18" customHeight="1" x14ac:dyDescent="0.2">
      <c r="B62" s="79">
        <f t="shared" si="19"/>
        <v>2</v>
      </c>
      <c r="C62" s="108" t="str">
        <f t="shared" si="19"/>
        <v>Talla ®</v>
      </c>
      <c r="D62" s="79">
        <f t="shared" si="20"/>
        <v>0</v>
      </c>
      <c r="E62" s="79">
        <f t="shared" si="21"/>
        <v>147.5</v>
      </c>
      <c r="F62" s="79">
        <f t="shared" si="22"/>
        <v>147.5</v>
      </c>
      <c r="G62" s="109">
        <f t="shared" si="23"/>
        <v>147.5</v>
      </c>
      <c r="H62" s="109">
        <f t="shared" si="24"/>
        <v>147.5</v>
      </c>
      <c r="I62" s="79"/>
      <c r="J62" s="79"/>
      <c r="M62" s="77"/>
      <c r="N62" s="200" t="str">
        <f>'1'!N62</f>
        <v>Masa Grasa - Faulkner</v>
      </c>
      <c r="O62" s="201">
        <f>IFERROR(IF(O7=1, 0.153*(O18+O19+O22+O23)+5.783, 0.213*(O18+O19+O22+O23)+7.9)/100, "-")</f>
        <v>0.26856999999999998</v>
      </c>
      <c r="P62" s="202">
        <f>IFERROR(O14*O62, "-")</f>
        <v>14.717635999999997</v>
      </c>
      <c r="S62" s="78"/>
    </row>
    <row r="63" spans="2:19" ht="18" customHeight="1" thickBot="1" x14ac:dyDescent="0.25">
      <c r="B63" s="79">
        <f t="shared" si="19"/>
        <v>3</v>
      </c>
      <c r="C63" s="108" t="str">
        <f t="shared" si="19"/>
        <v>Talla Sentado ®</v>
      </c>
      <c r="D63" s="79">
        <f t="shared" si="20"/>
        <v>0</v>
      </c>
      <c r="E63" s="79">
        <f t="shared" si="21"/>
        <v>81</v>
      </c>
      <c r="F63" s="79">
        <f t="shared" si="22"/>
        <v>81</v>
      </c>
      <c r="G63" s="109">
        <f t="shared" si="23"/>
        <v>81</v>
      </c>
      <c r="H63" s="109">
        <f t="shared" si="24"/>
        <v>81</v>
      </c>
      <c r="I63" s="79"/>
      <c r="J63" s="79"/>
      <c r="M63" s="77"/>
      <c r="N63" s="203" t="str">
        <f>'1'!N63</f>
        <v>Masa Grasa - Carter</v>
      </c>
      <c r="O63" s="204">
        <f>IFERROR(IF(O54=0, "-", IF(O7=1, 0.1051*(O54)+2.58, 0.1548*(O54)+3.58)/100), "-")</f>
        <v>0.26180799999999999</v>
      </c>
      <c r="P63" s="205">
        <f>IFERROR(O14*O63, "-")</f>
        <v>14.347078399999999</v>
      </c>
      <c r="S63" s="78"/>
    </row>
    <row r="64" spans="2:19" ht="18" customHeight="1" thickBot="1" x14ac:dyDescent="0.25">
      <c r="B64" s="79">
        <f t="shared" si="19"/>
        <v>4</v>
      </c>
      <c r="C64" s="108" t="str">
        <f t="shared" si="19"/>
        <v>Envergadura de Brazos ®</v>
      </c>
      <c r="D64" s="79">
        <f t="shared" si="20"/>
        <v>0</v>
      </c>
      <c r="E64" s="79">
        <f t="shared" si="21"/>
        <v>151</v>
      </c>
      <c r="F64" s="79">
        <f t="shared" si="22"/>
        <v>151</v>
      </c>
      <c r="G64" s="109">
        <f t="shared" si="23"/>
        <v>151</v>
      </c>
      <c r="H64" s="109">
        <f t="shared" si="24"/>
        <v>151</v>
      </c>
      <c r="I64" s="79"/>
      <c r="J64" s="79"/>
      <c r="M64" s="77"/>
      <c r="N64" s="72" t="str">
        <f>'1'!N64</f>
        <v>Masa Total</v>
      </c>
      <c r="O64" s="106">
        <f>IFERROR(SUM(O58:O61), "-")</f>
        <v>0.40813433304466445</v>
      </c>
      <c r="P64" s="107">
        <f>IFERROR(SUM(P58:P61), "-")</f>
        <v>22.365761450847611</v>
      </c>
      <c r="R64" s="53"/>
      <c r="S64" s="78"/>
    </row>
    <row r="65" spans="2:19" ht="18" customHeight="1" thickBot="1" x14ac:dyDescent="0.25">
      <c r="B65" s="79">
        <f t="shared" si="19"/>
        <v>5</v>
      </c>
      <c r="C65" s="108" t="str">
        <f t="shared" si="19"/>
        <v>PL Tríceps ®</v>
      </c>
      <c r="D65" s="79">
        <f t="shared" si="20"/>
        <v>3</v>
      </c>
      <c r="E65" s="79">
        <f t="shared" si="21"/>
        <v>2</v>
      </c>
      <c r="F65" s="79">
        <f t="shared" si="22"/>
        <v>1</v>
      </c>
      <c r="G65" s="109">
        <f t="shared" si="23"/>
        <v>27</v>
      </c>
      <c r="H65" s="109">
        <f t="shared" si="24"/>
        <v>26</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2</v>
      </c>
      <c r="E66" s="79">
        <f t="shared" si="21"/>
        <v>0</v>
      </c>
      <c r="F66" s="79">
        <f t="shared" si="22"/>
        <v>2</v>
      </c>
      <c r="G66" s="109">
        <f t="shared" si="23"/>
        <v>23</v>
      </c>
      <c r="H66" s="109">
        <f t="shared" si="24"/>
        <v>23</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6</v>
      </c>
      <c r="F67" s="79">
        <f t="shared" si="22"/>
        <v>6</v>
      </c>
      <c r="G67" s="109">
        <f t="shared" si="23"/>
        <v>6</v>
      </c>
      <c r="H67" s="109">
        <f t="shared" si="24"/>
        <v>6</v>
      </c>
      <c r="I67" s="79"/>
      <c r="J67" s="79"/>
      <c r="R67" s="53"/>
    </row>
    <row r="68" spans="2:19" ht="18" customHeight="1" x14ac:dyDescent="0.2">
      <c r="B68" s="79">
        <f t="shared" si="19"/>
        <v>8</v>
      </c>
      <c r="C68" s="108" t="str">
        <f t="shared" si="19"/>
        <v>PL Cresta Ilíaca ®</v>
      </c>
      <c r="D68" s="79">
        <f t="shared" si="20"/>
        <v>0</v>
      </c>
      <c r="E68" s="79">
        <f t="shared" si="21"/>
        <v>18</v>
      </c>
      <c r="F68" s="79">
        <f t="shared" si="22"/>
        <v>18</v>
      </c>
      <c r="G68" s="109">
        <f t="shared" si="23"/>
        <v>18</v>
      </c>
      <c r="H68" s="109">
        <f t="shared" si="24"/>
        <v>18</v>
      </c>
      <c r="I68" s="79"/>
      <c r="J68" s="79"/>
    </row>
    <row r="69" spans="2:19" ht="18" customHeight="1" x14ac:dyDescent="0.2">
      <c r="B69" s="79">
        <f t="shared" si="19"/>
        <v>9</v>
      </c>
      <c r="C69" s="108" t="str">
        <f t="shared" si="19"/>
        <v>PL Supraespinal ®</v>
      </c>
      <c r="D69" s="79">
        <f t="shared" si="20"/>
        <v>3</v>
      </c>
      <c r="E69" s="79">
        <f t="shared" si="21"/>
        <v>4</v>
      </c>
      <c r="F69" s="79">
        <f t="shared" si="22"/>
        <v>7</v>
      </c>
      <c r="G69" s="109">
        <f t="shared" si="23"/>
        <v>16</v>
      </c>
      <c r="H69" s="109">
        <f t="shared" si="24"/>
        <v>13</v>
      </c>
      <c r="I69" s="79"/>
      <c r="J69" s="79"/>
    </row>
    <row r="70" spans="2:19" ht="18" customHeight="1" x14ac:dyDescent="0.2">
      <c r="B70" s="79">
        <f t="shared" si="19"/>
        <v>10</v>
      </c>
      <c r="C70" s="108" t="str">
        <f t="shared" si="19"/>
        <v>PL Abdominal ®</v>
      </c>
      <c r="D70" s="79">
        <f t="shared" si="20"/>
        <v>0</v>
      </c>
      <c r="E70" s="79">
        <f t="shared" si="21"/>
        <v>24</v>
      </c>
      <c r="F70" s="79">
        <f t="shared" si="22"/>
        <v>24</v>
      </c>
      <c r="G70" s="109">
        <f t="shared" si="23"/>
        <v>24</v>
      </c>
      <c r="H70" s="109">
        <f t="shared" si="24"/>
        <v>24</v>
      </c>
      <c r="I70" s="79"/>
      <c r="J70" s="79"/>
    </row>
    <row r="71" spans="2:19" ht="18" customHeight="1" x14ac:dyDescent="0.2">
      <c r="B71" s="79">
        <f t="shared" si="19"/>
        <v>11</v>
      </c>
      <c r="C71" s="108" t="str">
        <f t="shared" si="19"/>
        <v>PL Muslo ®</v>
      </c>
      <c r="D71" s="79">
        <f t="shared" si="20"/>
        <v>2</v>
      </c>
      <c r="E71" s="79">
        <f t="shared" si="21"/>
        <v>3</v>
      </c>
      <c r="F71" s="79">
        <f t="shared" si="22"/>
        <v>1</v>
      </c>
      <c r="G71" s="109">
        <f t="shared" si="23"/>
        <v>32</v>
      </c>
      <c r="H71" s="109">
        <f t="shared" si="24"/>
        <v>31</v>
      </c>
      <c r="I71" s="79"/>
      <c r="J71" s="79"/>
    </row>
    <row r="72" spans="2:19" ht="18" customHeight="1" x14ac:dyDescent="0.2">
      <c r="B72" s="79">
        <f t="shared" si="19"/>
        <v>12</v>
      </c>
      <c r="C72" s="108" t="str">
        <f t="shared" si="19"/>
        <v>PL Pierna ®</v>
      </c>
      <c r="D72" s="79">
        <f t="shared" si="20"/>
        <v>4</v>
      </c>
      <c r="E72" s="79">
        <f t="shared" si="21"/>
        <v>9</v>
      </c>
      <c r="F72" s="79">
        <f t="shared" si="22"/>
        <v>5</v>
      </c>
      <c r="G72" s="109">
        <f t="shared" si="23"/>
        <v>29</v>
      </c>
      <c r="H72" s="109">
        <f t="shared" si="24"/>
        <v>25</v>
      </c>
      <c r="I72" s="79"/>
      <c r="J72" s="79"/>
    </row>
    <row r="73" spans="2:19" ht="18" customHeight="1" x14ac:dyDescent="0.2">
      <c r="B73" s="79">
        <f t="shared" si="19"/>
        <v>13</v>
      </c>
      <c r="C73" s="108" t="str">
        <f t="shared" si="19"/>
        <v>PR Brazo Relajado ®</v>
      </c>
      <c r="D73" s="79">
        <f t="shared" si="20"/>
        <v>0</v>
      </c>
      <c r="E73" s="79">
        <f t="shared" si="21"/>
        <v>27</v>
      </c>
      <c r="F73" s="79">
        <f t="shared" si="22"/>
        <v>27</v>
      </c>
      <c r="G73" s="109">
        <f t="shared" si="23"/>
        <v>27</v>
      </c>
      <c r="H73" s="109">
        <f t="shared" si="24"/>
        <v>27</v>
      </c>
      <c r="I73" s="79"/>
      <c r="J73" s="79"/>
    </row>
    <row r="74" spans="2:19" ht="18" customHeight="1" x14ac:dyDescent="0.2">
      <c r="B74" s="79">
        <f t="shared" si="19"/>
        <v>14</v>
      </c>
      <c r="C74" s="108" t="str">
        <f t="shared" si="19"/>
        <v>PR Brazo Flexionado y Contraído ®</v>
      </c>
      <c r="D74" s="79">
        <f t="shared" si="20"/>
        <v>0</v>
      </c>
      <c r="E74" s="79">
        <f t="shared" si="21"/>
        <v>26</v>
      </c>
      <c r="F74" s="79">
        <f t="shared" si="22"/>
        <v>26</v>
      </c>
      <c r="G74" s="109">
        <f t="shared" si="23"/>
        <v>26</v>
      </c>
      <c r="H74" s="109">
        <f t="shared" si="24"/>
        <v>26</v>
      </c>
      <c r="I74" s="79"/>
      <c r="J74" s="79"/>
    </row>
    <row r="75" spans="2:19" ht="18" customHeight="1" x14ac:dyDescent="0.2">
      <c r="B75" s="79">
        <f t="shared" si="19"/>
        <v>15</v>
      </c>
      <c r="C75" s="108" t="str">
        <f t="shared" si="19"/>
        <v>PR Cintura ®</v>
      </c>
      <c r="D75" s="79">
        <f t="shared" si="20"/>
        <v>2</v>
      </c>
      <c r="E75" s="79" t="e">
        <f t="shared" si="21"/>
        <v>#VALUE!</v>
      </c>
      <c r="F75" s="79" t="e">
        <f t="shared" si="22"/>
        <v>#VALUE!</v>
      </c>
      <c r="G75" s="109" t="e">
        <f t="shared" si="23"/>
        <v>#VALUE!</v>
      </c>
      <c r="H75" s="109" t="e">
        <f t="shared" si="24"/>
        <v>#VALUE!</v>
      </c>
      <c r="I75" s="79"/>
      <c r="J75" s="79"/>
    </row>
    <row r="76" spans="2:19" ht="18" customHeight="1" x14ac:dyDescent="0.2">
      <c r="B76" s="79">
        <f t="shared" si="19"/>
        <v>16</v>
      </c>
      <c r="C76" s="108" t="str">
        <f t="shared" si="19"/>
        <v>PR Caderas ®</v>
      </c>
      <c r="D76" s="79">
        <f t="shared" si="20"/>
        <v>0</v>
      </c>
      <c r="E76" s="79">
        <f t="shared" si="21"/>
        <v>97</v>
      </c>
      <c r="F76" s="79">
        <f t="shared" si="22"/>
        <v>97</v>
      </c>
      <c r="G76" s="109">
        <f t="shared" si="23"/>
        <v>97</v>
      </c>
      <c r="H76" s="109">
        <f t="shared" si="24"/>
        <v>97</v>
      </c>
      <c r="I76" s="79"/>
      <c r="J76" s="79"/>
    </row>
    <row r="77" spans="2:19" ht="18" customHeight="1" x14ac:dyDescent="0.2">
      <c r="B77" s="79">
        <f t="shared" ref="B77:C81" si="25">B30</f>
        <v>17</v>
      </c>
      <c r="C77" s="108" t="str">
        <f t="shared" si="25"/>
        <v>PR Muslo Medio ®</v>
      </c>
      <c r="D77" s="79">
        <f t="shared" si="20"/>
        <v>0</v>
      </c>
      <c r="E77" s="79">
        <f t="shared" si="21"/>
        <v>52.5</v>
      </c>
      <c r="F77" s="79">
        <f t="shared" si="22"/>
        <v>52.5</v>
      </c>
      <c r="G77" s="109">
        <f t="shared" si="23"/>
        <v>52.5</v>
      </c>
      <c r="H77" s="109">
        <f t="shared" si="24"/>
        <v>52.5</v>
      </c>
      <c r="I77" s="79"/>
      <c r="J77" s="79"/>
    </row>
    <row r="78" spans="2:19" ht="18" customHeight="1" x14ac:dyDescent="0.2">
      <c r="B78" s="79">
        <f t="shared" si="25"/>
        <v>18</v>
      </c>
      <c r="C78" s="108" t="str">
        <f t="shared" si="25"/>
        <v>PR Pierna ®</v>
      </c>
      <c r="D78" s="79" t="e">
        <f t="shared" si="20"/>
        <v>#VALUE!</v>
      </c>
      <c r="E78" s="79" t="e">
        <f t="shared" si="21"/>
        <v>#VALUE!</v>
      </c>
      <c r="F78" s="79" t="e">
        <f t="shared" si="22"/>
        <v>#VALUE!</v>
      </c>
      <c r="G78" s="109" t="e">
        <f t="shared" si="23"/>
        <v>#VALUE!</v>
      </c>
      <c r="H78" s="109" t="e">
        <f t="shared" si="24"/>
        <v>#VALUE!</v>
      </c>
      <c r="I78" s="79"/>
      <c r="J78" s="79"/>
    </row>
    <row r="79" spans="2:19" ht="18" customHeight="1" x14ac:dyDescent="0.2">
      <c r="B79" s="79">
        <f t="shared" si="25"/>
        <v>19</v>
      </c>
      <c r="C79" s="108" t="str">
        <f t="shared" si="25"/>
        <v>D Húmero ®</v>
      </c>
      <c r="D79" s="79" t="e">
        <f t="shared" si="20"/>
        <v>#VALUE!</v>
      </c>
      <c r="E79" s="79" t="e">
        <f t="shared" si="21"/>
        <v>#VALUE!</v>
      </c>
      <c r="F79" s="79" t="e">
        <f t="shared" si="22"/>
        <v>#VALUE!</v>
      </c>
      <c r="G79" s="109" t="e">
        <f t="shared" si="23"/>
        <v>#VALUE!</v>
      </c>
      <c r="H79" s="109" t="e">
        <f t="shared" si="24"/>
        <v>#VALUE!</v>
      </c>
      <c r="I79" s="79"/>
      <c r="J79" s="79"/>
    </row>
    <row r="80" spans="2:19" ht="18" customHeight="1" x14ac:dyDescent="0.2">
      <c r="B80" s="79">
        <f t="shared" si="25"/>
        <v>20</v>
      </c>
      <c r="C80" s="108" t="str">
        <f t="shared" si="25"/>
        <v>D Biestiloideo ®</v>
      </c>
      <c r="D80" s="79" t="e">
        <f t="shared" si="20"/>
        <v>#VALUE!</v>
      </c>
      <c r="E80" s="79">
        <f t="shared" si="21"/>
        <v>5</v>
      </c>
      <c r="F80" s="79" t="e">
        <f t="shared" si="22"/>
        <v>#VALUE!</v>
      </c>
      <c r="G80" s="109" t="e">
        <f t="shared" si="23"/>
        <v>#VALUE!</v>
      </c>
      <c r="H80" s="109" t="e">
        <f t="shared" si="24"/>
        <v>#VALUE!</v>
      </c>
      <c r="I80" s="79"/>
      <c r="J80" s="79"/>
    </row>
    <row r="81" spans="2:10" ht="18" customHeight="1" x14ac:dyDescent="0.2">
      <c r="B81" s="79">
        <f t="shared" si="25"/>
        <v>21</v>
      </c>
      <c r="C81" s="108" t="str">
        <f t="shared" si="25"/>
        <v>D Fémur ®</v>
      </c>
      <c r="D81" s="79" t="e">
        <f t="shared" si="20"/>
        <v>#VALUE!</v>
      </c>
      <c r="E81" s="79" t="e">
        <f t="shared" si="21"/>
        <v>#VALUE!</v>
      </c>
      <c r="F81" s="79" t="e">
        <f t="shared" si="22"/>
        <v>#VALUE!</v>
      </c>
      <c r="G81" s="109" t="e">
        <f t="shared" si="23"/>
        <v>#VALUE!</v>
      </c>
      <c r="H81" s="109" t="e">
        <f t="shared" si="24"/>
        <v>#VALUE!</v>
      </c>
      <c r="I81" s="79"/>
      <c r="J81" s="79"/>
    </row>
  </sheetData>
  <sheetProtection algorithmName="SHA-512" hashValue="Tk1fyVlQcJ19s/Ex2UjunkPvl4zZZedcw0J5kdXuPwUF7jRVtuI9/bQRXfRZ/DAc3C6EEX1Z+zcHBZF+Qpetow==" saltValue="f9Ya8r0eRPVxgHoQzbIkCA=="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91" priority="1">
      <formula>LEN(TRIM(D3))=0</formula>
    </cfRule>
  </conditionalFormatting>
  <conditionalFormatting sqref="D14:F34">
    <cfRule type="containsBlanks" dxfId="90" priority="5">
      <formula>LEN(TRIM(D14))=0</formula>
    </cfRule>
  </conditionalFormatting>
  <conditionalFormatting sqref="F14:F34">
    <cfRule type="expression" dxfId="89" priority="4">
      <formula>I14="No"</formula>
    </cfRule>
  </conditionalFormatting>
  <conditionalFormatting sqref="I14:I34">
    <cfRule type="expression" dxfId="88" priority="2">
      <formula>F14&lt;&gt;""</formula>
    </cfRule>
    <cfRule type="containsText" dxfId="87" priority="3" operator="containsText" text="Yes">
      <formula>NOT(ISERROR(SEARCH("Yes",I14)))</formula>
    </cfRule>
  </conditionalFormatting>
  <dataValidations count="2">
    <dataValidation type="list" allowBlank="1" showInputMessage="1" showErrorMessage="1" sqref="D7:F7" xr:uid="{B55F9CF9-C673-A74A-BBB3-69BCBDACF7EC}">
      <formula1>"1, 2"</formula1>
    </dataValidation>
    <dataValidation type="list" allowBlank="1" showInputMessage="1" showErrorMessage="1" sqref="D6:F6" xr:uid="{41102D10-8874-EC4D-962E-CF8FBDA64F1D}">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D3258-67C4-C74E-ADFE-35C037E3E7F0}">
  <sheetPr>
    <pageSetUpPr fitToPage="1"/>
  </sheetPr>
  <dimension ref="B1:U81"/>
  <sheetViews>
    <sheetView showGridLines="0" zoomScale="63" zoomScaleNormal="75" zoomScaleSheetLayoutView="75" workbookViewId="0">
      <selection activeCell="E15" sqref="E15"/>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t="s">
        <v>71</v>
      </c>
      <c r="E3" s="264"/>
      <c r="F3" s="265"/>
      <c r="M3" s="77"/>
      <c r="N3" s="47" t="str">
        <f t="shared" ref="N3:N10" si="0">C3</f>
        <v>Nombre</v>
      </c>
      <c r="O3" s="269" t="str">
        <f>IF(D3="", "", D3)</f>
        <v xml:space="preserve">Yajaira </v>
      </c>
      <c r="P3" s="270"/>
      <c r="Q3" s="271"/>
      <c r="S3" s="78"/>
    </row>
    <row r="4" spans="2:21" ht="18" customHeight="1" thickBot="1" x14ac:dyDescent="0.25">
      <c r="C4" s="49" t="str">
        <f>'1'!C4</f>
        <v>Apellidos</v>
      </c>
      <c r="D4" s="260" t="s">
        <v>72</v>
      </c>
      <c r="E4" s="261"/>
      <c r="F4" s="262"/>
      <c r="M4" s="77"/>
      <c r="N4" s="49" t="str">
        <f t="shared" si="0"/>
        <v>Apellidos</v>
      </c>
      <c r="O4" s="266" t="str">
        <f t="shared" ref="O4:O10" si="1">IF(D4="", "", D4)</f>
        <v>Buenaño</v>
      </c>
      <c r="P4" s="267"/>
      <c r="Q4" s="268"/>
      <c r="S4" s="78"/>
    </row>
    <row r="5" spans="2:21" ht="18" customHeight="1" thickBot="1" x14ac:dyDescent="0.25">
      <c r="C5" s="70" t="str">
        <f>'1'!C5</f>
        <v>País</v>
      </c>
      <c r="D5" s="249" t="s">
        <v>63</v>
      </c>
      <c r="E5" s="250"/>
      <c r="F5" s="251"/>
      <c r="M5" s="77"/>
      <c r="N5" s="70" t="str">
        <f t="shared" si="0"/>
        <v>País</v>
      </c>
      <c r="O5" s="281" t="str">
        <f t="shared" si="1"/>
        <v>Ecuador</v>
      </c>
      <c r="P5" s="282"/>
      <c r="Q5" s="283"/>
      <c r="S5" s="78"/>
    </row>
    <row r="6" spans="2:21" ht="18" customHeight="1" x14ac:dyDescent="0.2">
      <c r="C6" s="47" t="str">
        <f>'1'!C6</f>
        <v>Raza (asiático=1; afro-americano=2; caucásico=3)</v>
      </c>
      <c r="D6" s="263">
        <v>3</v>
      </c>
      <c r="E6" s="264"/>
      <c r="F6" s="265"/>
      <c r="M6" s="77"/>
      <c r="N6" s="47" t="str">
        <f t="shared" si="0"/>
        <v>Raza (asiático=1; afro-americano=2; caucásico=3)</v>
      </c>
      <c r="O6" s="278">
        <f t="shared" si="1"/>
        <v>3</v>
      </c>
      <c r="P6" s="279"/>
      <c r="Q6" s="280"/>
      <c r="S6" s="78"/>
    </row>
    <row r="7" spans="2:21" ht="18" customHeight="1" thickBot="1" x14ac:dyDescent="0.25">
      <c r="C7" s="49" t="str">
        <f>'1'!C7</f>
        <v>Sexo (hombre=1, mujer=2)</v>
      </c>
      <c r="D7" s="260">
        <v>2</v>
      </c>
      <c r="E7" s="261"/>
      <c r="F7" s="262"/>
      <c r="M7" s="77"/>
      <c r="N7" s="49" t="str">
        <f t="shared" si="0"/>
        <v>Sexo (hombre=1, mujer=2)</v>
      </c>
      <c r="O7" s="266">
        <f t="shared" si="1"/>
        <v>2</v>
      </c>
      <c r="P7" s="267"/>
      <c r="Q7" s="268"/>
      <c r="S7" s="78"/>
    </row>
    <row r="8" spans="2:21" ht="18" customHeight="1" thickBot="1" x14ac:dyDescent="0.25">
      <c r="C8" s="70" t="str">
        <f>'1'!C8</f>
        <v>Deporte</v>
      </c>
      <c r="D8" s="249" t="s">
        <v>73</v>
      </c>
      <c r="E8" s="250"/>
      <c r="F8" s="251"/>
      <c r="M8" s="77"/>
      <c r="N8" s="70" t="str">
        <f t="shared" si="0"/>
        <v>Deporte</v>
      </c>
      <c r="O8" s="281" t="str">
        <f t="shared" si="1"/>
        <v>Fútbol</v>
      </c>
      <c r="P8" s="282"/>
      <c r="Q8" s="283"/>
      <c r="S8" s="78"/>
    </row>
    <row r="9" spans="2:21" ht="18" customHeight="1" x14ac:dyDescent="0.2">
      <c r="C9" s="47" t="str">
        <f>'1'!C9</f>
        <v>Fecha de la Valoración</v>
      </c>
      <c r="D9" s="246">
        <v>45669</v>
      </c>
      <c r="E9" s="247"/>
      <c r="F9" s="248"/>
      <c r="M9" s="77"/>
      <c r="N9" s="47" t="str">
        <f t="shared" si="0"/>
        <v>Fecha de la Valoración</v>
      </c>
      <c r="O9" s="290">
        <f t="shared" si="1"/>
        <v>45669</v>
      </c>
      <c r="P9" s="291"/>
      <c r="Q9" s="292"/>
      <c r="S9" s="78"/>
    </row>
    <row r="10" spans="2:21" ht="18" customHeight="1" thickBot="1" x14ac:dyDescent="0.25">
      <c r="C10" s="49" t="str">
        <f>'1'!C10</f>
        <v>Fecha de Nacimiento</v>
      </c>
      <c r="D10" s="243">
        <v>29786</v>
      </c>
      <c r="E10" s="244"/>
      <c r="F10" s="245"/>
      <c r="K10" s="15"/>
      <c r="M10" s="77"/>
      <c r="N10" s="49" t="str">
        <f t="shared" si="0"/>
        <v>Fecha de Nacimiento</v>
      </c>
      <c r="O10" s="287">
        <f t="shared" si="1"/>
        <v>29786</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v>71.7</v>
      </c>
      <c r="E14" s="57">
        <v>71.7</v>
      </c>
      <c r="F14" s="58"/>
      <c r="H14" s="65">
        <f>IFERROR((E14-D14)/(AVERAGE(D14:E14)), "-")</f>
        <v>0</v>
      </c>
      <c r="I14" s="168" t="str">
        <f>IFERROR(IF(ABS(H14)&gt;1%, "Yes", "No"), "-")</f>
        <v>No</v>
      </c>
      <c r="K14" s="29">
        <f>IFERROR(MEDIAN(D14, E14, F14), "-")</f>
        <v>71.7</v>
      </c>
      <c r="M14" s="77"/>
      <c r="N14" s="95" t="str">
        <f t="shared" ref="N14:N34" si="2">C14</f>
        <v>Masa Corporal ®</v>
      </c>
      <c r="O14" s="96">
        <f t="shared" ref="O14:O34" si="3">IFERROR(K14, "-")</f>
        <v>71.7</v>
      </c>
      <c r="P14" s="97" t="s">
        <v>25</v>
      </c>
      <c r="Q14" s="85">
        <f>1/8.6*(+O14*((170.18/O$15)^3)-64.58)</f>
        <v>1.8921076421843641</v>
      </c>
      <c r="R14" s="86"/>
      <c r="S14" s="78"/>
    </row>
    <row r="15" spans="2:21" ht="18" customHeight="1" x14ac:dyDescent="0.2">
      <c r="B15" s="41">
        <f>'1'!B15</f>
        <v>2</v>
      </c>
      <c r="C15" s="42" t="str">
        <f>'1'!C15</f>
        <v>Talla ®</v>
      </c>
      <c r="D15" s="59">
        <v>163.5</v>
      </c>
      <c r="E15" s="60">
        <v>163.5</v>
      </c>
      <c r="F15" s="61"/>
      <c r="H15" s="66">
        <f t="shared" ref="H15:H34" si="4">IFERROR((E15-D15)/(AVERAGE(D15:E15)), "-")</f>
        <v>0</v>
      </c>
      <c r="I15" s="67" t="str">
        <f t="shared" ref="I15:I17" si="5">IFERROR(IF(ABS(H15)&gt;1%, "Yes", "No"), "-")</f>
        <v>No</v>
      </c>
      <c r="K15" s="69">
        <f t="shared" ref="K15:K34" si="6">IFERROR(MEDIAN(D15, E15, F15), "-")</f>
        <v>163.5</v>
      </c>
      <c r="M15" s="77"/>
      <c r="N15" s="93" t="str">
        <f t="shared" si="2"/>
        <v>Talla ®</v>
      </c>
      <c r="O15" s="26">
        <f t="shared" si="3"/>
        <v>163.5</v>
      </c>
      <c r="P15" s="83" t="s">
        <v>26</v>
      </c>
      <c r="Q15" s="87" t="s">
        <v>44</v>
      </c>
      <c r="R15" s="88"/>
      <c r="S15" s="78"/>
    </row>
    <row r="16" spans="2:21" ht="18" customHeight="1" x14ac:dyDescent="0.2">
      <c r="B16" s="41">
        <f>'1'!B16</f>
        <v>3</v>
      </c>
      <c r="C16" s="42" t="str">
        <f>'1'!C16</f>
        <v>Talla Sentado ®</v>
      </c>
      <c r="D16" s="59" t="s">
        <v>74</v>
      </c>
      <c r="E16" s="60" t="s">
        <v>74</v>
      </c>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t="s">
        <v>75</v>
      </c>
      <c r="E17" s="63" t="s">
        <v>75</v>
      </c>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v>27</v>
      </c>
      <c r="E18" s="57">
        <v>31</v>
      </c>
      <c r="F18" s="58">
        <v>31</v>
      </c>
      <c r="H18" s="65">
        <f t="shared" si="4"/>
        <v>0.13793103448275862</v>
      </c>
      <c r="I18" s="168" t="str">
        <f>IFERROR(IF(ABS(H18)&gt;5%, "Yes", "No"), "-")</f>
        <v>Yes</v>
      </c>
      <c r="K18" s="29">
        <f t="shared" si="6"/>
        <v>31</v>
      </c>
      <c r="M18" s="77"/>
      <c r="N18" s="92" t="str">
        <f t="shared" si="2"/>
        <v>PL Tríceps ®</v>
      </c>
      <c r="O18" s="25">
        <f t="shared" si="3"/>
        <v>31</v>
      </c>
      <c r="P18" s="82" t="s">
        <v>27</v>
      </c>
      <c r="Q18" s="85">
        <f>1/4.47*(+O18*((170.18/O$15)^1)-15.4)</f>
        <v>3.7732761392634573</v>
      </c>
      <c r="R18" s="91"/>
      <c r="S18" s="78"/>
    </row>
    <row r="19" spans="2:19" ht="18" customHeight="1" x14ac:dyDescent="0.2">
      <c r="B19" s="41">
        <f>'1'!B19</f>
        <v>6</v>
      </c>
      <c r="C19" s="42" t="str">
        <f>'1'!C19</f>
        <v>PL Subescapular ®</v>
      </c>
      <c r="D19" s="59">
        <v>21</v>
      </c>
      <c r="E19" s="60">
        <v>21</v>
      </c>
      <c r="F19" s="61"/>
      <c r="H19" s="66">
        <f t="shared" si="4"/>
        <v>0</v>
      </c>
      <c r="I19" s="67" t="str">
        <f t="shared" ref="I19:I25" si="7">IFERROR(IF(ABS(H19)&gt;5%, "Yes", "No"), "-")</f>
        <v>No</v>
      </c>
      <c r="K19" s="69">
        <f t="shared" si="6"/>
        <v>21</v>
      </c>
      <c r="M19" s="77"/>
      <c r="N19" s="93" t="str">
        <f t="shared" si="2"/>
        <v>PL Subescapular ®</v>
      </c>
      <c r="O19" s="26">
        <f t="shared" si="3"/>
        <v>21</v>
      </c>
      <c r="P19" s="83" t="s">
        <v>27</v>
      </c>
      <c r="Q19" s="87">
        <f>1/5.07*(+O19*((170.18/O$15)^1)-17.2)</f>
        <v>0.9187340535258679</v>
      </c>
      <c r="R19" s="88"/>
      <c r="S19" s="78"/>
    </row>
    <row r="20" spans="2:19" ht="18" customHeight="1" x14ac:dyDescent="0.2">
      <c r="B20" s="41">
        <f>'1'!B20</f>
        <v>7</v>
      </c>
      <c r="C20" s="42" t="str">
        <f>'1'!C20</f>
        <v>PL Bíceps ®</v>
      </c>
      <c r="D20" s="59">
        <v>15</v>
      </c>
      <c r="E20" s="60">
        <v>15</v>
      </c>
      <c r="F20" s="61"/>
      <c r="H20" s="66">
        <f t="shared" si="4"/>
        <v>0</v>
      </c>
      <c r="I20" s="67" t="str">
        <f t="shared" si="7"/>
        <v>No</v>
      </c>
      <c r="K20" s="69">
        <f t="shared" si="6"/>
        <v>15</v>
      </c>
      <c r="M20" s="77"/>
      <c r="N20" s="93" t="str">
        <f t="shared" si="2"/>
        <v>PL Bíceps ®</v>
      </c>
      <c r="O20" s="26">
        <f t="shared" si="3"/>
        <v>15</v>
      </c>
      <c r="P20" s="83" t="s">
        <v>27</v>
      </c>
      <c r="Q20" s="87">
        <f>1/2*(+O20*((170.18/O$15)^1)-8)</f>
        <v>3.8064220183486253</v>
      </c>
      <c r="R20" s="88"/>
      <c r="S20" s="78"/>
    </row>
    <row r="21" spans="2:19" ht="18" customHeight="1" x14ac:dyDescent="0.2">
      <c r="B21" s="41">
        <f>'1'!B21</f>
        <v>8</v>
      </c>
      <c r="C21" s="42" t="str">
        <f>'1'!C21</f>
        <v>PL Cresta Ilíaca ®</v>
      </c>
      <c r="D21" s="59">
        <v>20</v>
      </c>
      <c r="E21" s="60">
        <v>21</v>
      </c>
      <c r="F21" s="61"/>
      <c r="H21" s="66">
        <f t="shared" si="4"/>
        <v>4.878048780487805E-2</v>
      </c>
      <c r="I21" s="67" t="str">
        <f t="shared" si="7"/>
        <v>No</v>
      </c>
      <c r="K21" s="69">
        <f t="shared" si="6"/>
        <v>20.5</v>
      </c>
      <c r="M21" s="77"/>
      <c r="N21" s="93" t="str">
        <f t="shared" si="2"/>
        <v>PL Cresta Ilíaca ®</v>
      </c>
      <c r="O21" s="26">
        <f t="shared" si="3"/>
        <v>20.5</v>
      </c>
      <c r="P21" s="83" t="s">
        <v>48</v>
      </c>
      <c r="Q21" s="87">
        <f>1/6.8*(+O21*((170.18/O$15)^1)-22.4)</f>
        <v>-0.156242129879474</v>
      </c>
      <c r="R21" s="88"/>
      <c r="S21" s="78"/>
    </row>
    <row r="22" spans="2:19" ht="18" customHeight="1" x14ac:dyDescent="0.2">
      <c r="B22" s="41">
        <f>'1'!B22</f>
        <v>9</v>
      </c>
      <c r="C22" s="42" t="str">
        <f>'1'!C22</f>
        <v>PL Supraespinal ®</v>
      </c>
      <c r="D22" s="59">
        <v>26</v>
      </c>
      <c r="E22" s="60">
        <v>25</v>
      </c>
      <c r="F22" s="61"/>
      <c r="H22" s="66">
        <f t="shared" si="4"/>
        <v>-3.9215686274509803E-2</v>
      </c>
      <c r="I22" s="67" t="str">
        <f t="shared" si="7"/>
        <v>No</v>
      </c>
      <c r="K22" s="69">
        <f t="shared" si="6"/>
        <v>25.5</v>
      </c>
      <c r="M22" s="77"/>
      <c r="N22" s="93" t="str">
        <f t="shared" si="2"/>
        <v>PL Supraespinal ®</v>
      </c>
      <c r="O22" s="26">
        <f t="shared" si="3"/>
        <v>25.5</v>
      </c>
      <c r="P22" s="83" t="s">
        <v>27</v>
      </c>
      <c r="Q22" s="87">
        <f>1/4.47*(+O22*((170.18/O$15)^1)-15.4)</f>
        <v>2.4925805061264712</v>
      </c>
      <c r="R22" s="88"/>
      <c r="S22" s="78"/>
    </row>
    <row r="23" spans="2:19" ht="18" customHeight="1" x14ac:dyDescent="0.2">
      <c r="B23" s="41">
        <f>'1'!B23</f>
        <v>10</v>
      </c>
      <c r="C23" s="42" t="str">
        <f>'1'!C23</f>
        <v>PL Abdominal ®</v>
      </c>
      <c r="D23" s="59">
        <v>33</v>
      </c>
      <c r="E23" s="60">
        <v>29</v>
      </c>
      <c r="F23" s="61">
        <v>29</v>
      </c>
      <c r="H23" s="66">
        <f t="shared" si="4"/>
        <v>-0.12903225806451613</v>
      </c>
      <c r="I23" s="67" t="str">
        <f t="shared" si="7"/>
        <v>Yes</v>
      </c>
      <c r="K23" s="69">
        <f t="shared" si="6"/>
        <v>29</v>
      </c>
      <c r="M23" s="77"/>
      <c r="N23" s="93" t="str">
        <f t="shared" si="2"/>
        <v>PL Abdominal ®</v>
      </c>
      <c r="O23" s="26">
        <f t="shared" si="3"/>
        <v>29</v>
      </c>
      <c r="P23" s="83" t="s">
        <v>27</v>
      </c>
      <c r="Q23" s="87">
        <f>1/7.78*(+O23*((170.18/O$15)^1)-25.4)</f>
        <v>0.61501694142433794</v>
      </c>
      <c r="R23" s="88"/>
      <c r="S23" s="78"/>
    </row>
    <row r="24" spans="2:19" ht="18" customHeight="1" x14ac:dyDescent="0.2">
      <c r="B24" s="41">
        <f>'1'!B24</f>
        <v>11</v>
      </c>
      <c r="C24" s="42" t="str">
        <f>'1'!C24</f>
        <v>PL Muslo ®</v>
      </c>
      <c r="D24" s="59">
        <v>24</v>
      </c>
      <c r="E24" s="60">
        <v>28</v>
      </c>
      <c r="F24" s="61">
        <v>23</v>
      </c>
      <c r="H24" s="66">
        <f t="shared" si="4"/>
        <v>0.15384615384615385</v>
      </c>
      <c r="I24" s="67" t="str">
        <f t="shared" si="7"/>
        <v>Yes</v>
      </c>
      <c r="K24" s="69">
        <f t="shared" si="6"/>
        <v>24</v>
      </c>
      <c r="M24" s="77"/>
      <c r="N24" s="93" t="str">
        <f t="shared" si="2"/>
        <v>PL Muslo ®</v>
      </c>
      <c r="O24" s="26">
        <f t="shared" si="3"/>
        <v>24</v>
      </c>
      <c r="P24" s="83" t="s">
        <v>27</v>
      </c>
      <c r="Q24" s="87">
        <f>1/8.33*(+O24*((170.18/O$15)^1)-27)</f>
        <v>-0.24243091732105665</v>
      </c>
      <c r="R24" s="88"/>
      <c r="S24" s="78"/>
    </row>
    <row r="25" spans="2:19" ht="18" customHeight="1" thickBot="1" x14ac:dyDescent="0.25">
      <c r="B25" s="184">
        <f>'1'!B25</f>
        <v>12</v>
      </c>
      <c r="C25" s="185" t="str">
        <f>'1'!C25</f>
        <v>PL Pierna ®</v>
      </c>
      <c r="D25" s="186">
        <v>19</v>
      </c>
      <c r="E25" s="187">
        <v>22</v>
      </c>
      <c r="F25" s="188">
        <v>21</v>
      </c>
      <c r="H25" s="189">
        <f t="shared" si="4"/>
        <v>0.14634146341463414</v>
      </c>
      <c r="I25" s="190" t="str">
        <f t="shared" si="7"/>
        <v>Yes</v>
      </c>
      <c r="K25" s="191">
        <f t="shared" si="6"/>
        <v>21</v>
      </c>
      <c r="M25" s="77"/>
      <c r="N25" s="94" t="str">
        <f t="shared" si="2"/>
        <v>PL Pierna ®</v>
      </c>
      <c r="O25" s="28">
        <f t="shared" si="3"/>
        <v>21</v>
      </c>
      <c r="P25" s="84" t="s">
        <v>27</v>
      </c>
      <c r="Q25" s="89">
        <f>1/4.67*(+O25*((170.18/O$15)^1)-16)</f>
        <v>1.2543857925858994</v>
      </c>
      <c r="R25" s="90"/>
      <c r="S25" s="78"/>
    </row>
    <row r="26" spans="2:19" ht="18" customHeight="1" x14ac:dyDescent="0.2">
      <c r="B26" s="37">
        <f>'1'!B26</f>
        <v>13</v>
      </c>
      <c r="C26" s="38" t="str">
        <f>'1'!C26</f>
        <v>PR Brazo Relajado ®</v>
      </c>
      <c r="D26" s="56">
        <v>28</v>
      </c>
      <c r="E26" s="57">
        <v>28</v>
      </c>
      <c r="F26" s="58">
        <v>32</v>
      </c>
      <c r="H26" s="65">
        <f t="shared" si="4"/>
        <v>0</v>
      </c>
      <c r="I26" s="168" t="str">
        <f t="shared" ref="I26:I34" si="8">IFERROR(IF(ABS(H26)&gt;1%, "Yes", "No"), "-")</f>
        <v>No</v>
      </c>
      <c r="K26" s="29">
        <f t="shared" si="6"/>
        <v>28</v>
      </c>
      <c r="M26" s="77"/>
      <c r="N26" s="93" t="str">
        <f t="shared" si="2"/>
        <v>PR Brazo Relajado ®</v>
      </c>
      <c r="O26" s="26">
        <f t="shared" si="3"/>
        <v>28</v>
      </c>
      <c r="P26" s="83" t="s">
        <v>26</v>
      </c>
      <c r="Q26" s="87">
        <f>1/2.33*(+O26*((170.18/O$15)^1)-26.89)</f>
        <v>0.96737147432111514</v>
      </c>
      <c r="R26" s="88"/>
      <c r="S26" s="78"/>
    </row>
    <row r="27" spans="2:19" ht="18" customHeight="1" x14ac:dyDescent="0.2">
      <c r="B27" s="41">
        <f>'1'!B27</f>
        <v>14</v>
      </c>
      <c r="C27" s="42" t="str">
        <f>'1'!C27</f>
        <v>PR Brazo Flexionado y Contraído ®</v>
      </c>
      <c r="D27" s="59">
        <v>32</v>
      </c>
      <c r="E27" s="60">
        <v>32</v>
      </c>
      <c r="F27" s="61"/>
      <c r="H27" s="66">
        <f t="shared" si="4"/>
        <v>0</v>
      </c>
      <c r="I27" s="67" t="str">
        <f t="shared" si="8"/>
        <v>No</v>
      </c>
      <c r="K27" s="69">
        <f t="shared" si="6"/>
        <v>32</v>
      </c>
      <c r="M27" s="77"/>
      <c r="N27" s="93" t="str">
        <f t="shared" si="2"/>
        <v>PR Brazo Flexionado y Contraído ®</v>
      </c>
      <c r="O27" s="26">
        <f t="shared" si="3"/>
        <v>32</v>
      </c>
      <c r="P27" s="83" t="s">
        <v>26</v>
      </c>
      <c r="Q27" s="87">
        <f>1/2.37*(+O27*((170.18/O$15)^1)-29.41)</f>
        <v>1.6444728319075101</v>
      </c>
      <c r="R27" s="88"/>
      <c r="S27" s="78"/>
    </row>
    <row r="28" spans="2:19" ht="18" customHeight="1" x14ac:dyDescent="0.2">
      <c r="B28" s="41">
        <f>'1'!B28</f>
        <v>15</v>
      </c>
      <c r="C28" s="42" t="str">
        <f>'1'!C28</f>
        <v>PR Cintura ®</v>
      </c>
      <c r="D28" s="59">
        <v>83</v>
      </c>
      <c r="E28" s="60">
        <v>84</v>
      </c>
      <c r="F28" s="61" t="s">
        <v>74</v>
      </c>
      <c r="H28" s="66">
        <f t="shared" si="4"/>
        <v>1.1976047904191617E-2</v>
      </c>
      <c r="I28" s="67" t="str">
        <f t="shared" si="8"/>
        <v>Yes</v>
      </c>
      <c r="K28" s="69">
        <f t="shared" si="6"/>
        <v>83.5</v>
      </c>
      <c r="M28" s="77"/>
      <c r="N28" s="93" t="str">
        <f t="shared" si="2"/>
        <v>PR Cintura ®</v>
      </c>
      <c r="O28" s="26">
        <f t="shared" si="3"/>
        <v>83.5</v>
      </c>
      <c r="P28" s="83" t="s">
        <v>26</v>
      </c>
      <c r="Q28" s="87">
        <f>1/4.45*(+O28*((170.18/O$15)^1)-71.91)</f>
        <v>3.3711232518984318</v>
      </c>
      <c r="R28" s="88"/>
      <c r="S28" s="78"/>
    </row>
    <row r="29" spans="2:19" ht="18" customHeight="1" x14ac:dyDescent="0.2">
      <c r="B29" s="41">
        <f>'1'!B29</f>
        <v>16</v>
      </c>
      <c r="C29" s="42" t="str">
        <f>'1'!C29</f>
        <v>PR Caderas ®</v>
      </c>
      <c r="D29" s="59">
        <v>100.5</v>
      </c>
      <c r="E29" s="60">
        <v>101</v>
      </c>
      <c r="F29" s="61"/>
      <c r="H29" s="66">
        <f t="shared" si="4"/>
        <v>4.9627791563275434E-3</v>
      </c>
      <c r="I29" s="67" t="str">
        <f t="shared" si="8"/>
        <v>No</v>
      </c>
      <c r="K29" s="69">
        <f t="shared" si="6"/>
        <v>100.75</v>
      </c>
      <c r="M29" s="77"/>
      <c r="N29" s="93" t="str">
        <f t="shared" si="2"/>
        <v>PR Caderas ®</v>
      </c>
      <c r="O29" s="26">
        <f t="shared" si="3"/>
        <v>100.75</v>
      </c>
      <c r="P29" s="83" t="s">
        <v>26</v>
      </c>
      <c r="Q29" s="87">
        <f>1/5.58*(+O29*((170.18/O$15)^1)-94.67)</f>
        <v>1.8272883715322317</v>
      </c>
      <c r="R29" s="88"/>
      <c r="S29" s="78"/>
    </row>
    <row r="30" spans="2:19" ht="18" customHeight="1" x14ac:dyDescent="0.2">
      <c r="B30" s="41">
        <f>'1'!B30</f>
        <v>17</v>
      </c>
      <c r="C30" s="42" t="str">
        <f>'1'!C30</f>
        <v>PR Muslo Medio ®</v>
      </c>
      <c r="D30" s="59">
        <v>53.5</v>
      </c>
      <c r="E30" s="60">
        <v>54</v>
      </c>
      <c r="F30" s="61"/>
      <c r="H30" s="66">
        <f t="shared" si="4"/>
        <v>9.3023255813953487E-3</v>
      </c>
      <c r="I30" s="67" t="str">
        <f t="shared" si="8"/>
        <v>No</v>
      </c>
      <c r="K30" s="69">
        <f t="shared" si="6"/>
        <v>53.75</v>
      </c>
      <c r="M30" s="77"/>
      <c r="N30" s="93" t="str">
        <f t="shared" si="2"/>
        <v>PR Muslo Medio ®</v>
      </c>
      <c r="O30" s="26">
        <f t="shared" si="3"/>
        <v>53.75</v>
      </c>
      <c r="P30" s="83" t="s">
        <v>26</v>
      </c>
      <c r="Q30" s="87">
        <f>1/4.56*(+O30*((170.18/O$15)^1)-53.2)</f>
        <v>0.60219834755083612</v>
      </c>
      <c r="R30" s="88"/>
      <c r="S30" s="78"/>
    </row>
    <row r="31" spans="2:19" ht="18" customHeight="1" thickBot="1" x14ac:dyDescent="0.25">
      <c r="B31" s="44">
        <f>'1'!B31</f>
        <v>18</v>
      </c>
      <c r="C31" s="45" t="str">
        <f>'1'!C31</f>
        <v>PR Pierna ®</v>
      </c>
      <c r="D31" s="62" t="s">
        <v>76</v>
      </c>
      <c r="E31" s="63">
        <v>37</v>
      </c>
      <c r="F31" s="64"/>
      <c r="H31" s="68" t="str">
        <f t="shared" si="4"/>
        <v>-</v>
      </c>
      <c r="I31" s="36" t="str">
        <f t="shared" si="8"/>
        <v>-</v>
      </c>
      <c r="K31" s="33">
        <f t="shared" si="6"/>
        <v>37</v>
      </c>
      <c r="M31" s="77"/>
      <c r="N31" s="192" t="str">
        <f t="shared" si="2"/>
        <v>PR Pierna ®</v>
      </c>
      <c r="O31" s="193">
        <f t="shared" si="3"/>
        <v>37</v>
      </c>
      <c r="P31" s="194" t="s">
        <v>26</v>
      </c>
      <c r="Q31" s="195">
        <f>1/2.3*(+O31*((170.18/O$15)^1)-35.25)</f>
        <v>1.4181225900811072</v>
      </c>
      <c r="R31" s="196"/>
      <c r="S31" s="78"/>
    </row>
    <row r="32" spans="2:19" ht="18" customHeight="1" x14ac:dyDescent="0.2">
      <c r="B32" s="37">
        <f>'1'!B32</f>
        <v>19</v>
      </c>
      <c r="C32" s="38" t="str">
        <f>'1'!C32</f>
        <v>D Húmero ®</v>
      </c>
      <c r="D32" s="56">
        <v>6.4</v>
      </c>
      <c r="E32" s="57">
        <v>6.4</v>
      </c>
      <c r="F32" s="58"/>
      <c r="H32" s="65">
        <f t="shared" si="4"/>
        <v>0</v>
      </c>
      <c r="I32" s="168" t="str">
        <f t="shared" si="8"/>
        <v>No</v>
      </c>
      <c r="K32" s="29">
        <f t="shared" si="6"/>
        <v>6.4</v>
      </c>
      <c r="M32" s="77"/>
      <c r="N32" s="92" t="str">
        <f t="shared" si="2"/>
        <v>D Húmero ®</v>
      </c>
      <c r="O32" s="25">
        <f t="shared" si="3"/>
        <v>6.4</v>
      </c>
      <c r="P32" s="82" t="s">
        <v>26</v>
      </c>
      <c r="Q32" s="85">
        <f>1/0.35*(+O32*((170.18/O$15)^1)-6.48)</f>
        <v>0.51851463521188634</v>
      </c>
      <c r="R32" s="91"/>
      <c r="S32" s="78"/>
    </row>
    <row r="33" spans="2:19" ht="18" customHeight="1" x14ac:dyDescent="0.2">
      <c r="B33" s="41">
        <f>'1'!B33</f>
        <v>20</v>
      </c>
      <c r="C33" s="42" t="str">
        <f>'1'!C33</f>
        <v>D Biestiloideo ®</v>
      </c>
      <c r="D33" s="59">
        <v>5.5</v>
      </c>
      <c r="E33" s="60" t="s">
        <v>77</v>
      </c>
      <c r="F33" s="61"/>
      <c r="H33" s="66" t="str">
        <f t="shared" si="4"/>
        <v>-</v>
      </c>
      <c r="I33" s="67" t="str">
        <f t="shared" si="8"/>
        <v>-</v>
      </c>
      <c r="K33" s="69">
        <f t="shared" si="6"/>
        <v>5.5</v>
      </c>
      <c r="M33" s="77"/>
      <c r="N33" s="93" t="str">
        <f t="shared" si="2"/>
        <v>D Biestiloideo ®</v>
      </c>
      <c r="O33" s="26">
        <f t="shared" si="3"/>
        <v>5.5</v>
      </c>
      <c r="P33" s="83" t="s">
        <v>26</v>
      </c>
      <c r="Q33" s="87">
        <f>1/0.28*(+O33*((170.18/O$15)^1)-5.21)</f>
        <v>1.8382481432940172</v>
      </c>
      <c r="R33" s="88"/>
      <c r="S33" s="78"/>
    </row>
    <row r="34" spans="2:19" ht="18" customHeight="1" thickBot="1" x14ac:dyDescent="0.25">
      <c r="B34" s="44">
        <f>'1'!B34</f>
        <v>21</v>
      </c>
      <c r="C34" s="45" t="str">
        <f>'1'!C34</f>
        <v>D Fémur ®</v>
      </c>
      <c r="D34" s="62">
        <v>6.4</v>
      </c>
      <c r="E34" s="63" t="s">
        <v>78</v>
      </c>
      <c r="F34" s="64"/>
      <c r="H34" s="68" t="str">
        <f t="shared" si="4"/>
        <v>-</v>
      </c>
      <c r="I34" s="36" t="str">
        <f t="shared" si="8"/>
        <v>-</v>
      </c>
      <c r="K34" s="33">
        <f t="shared" si="6"/>
        <v>6.4</v>
      </c>
      <c r="M34" s="77"/>
      <c r="N34" s="94" t="str">
        <f t="shared" si="2"/>
        <v>D Fémur ®</v>
      </c>
      <c r="O34" s="28">
        <f t="shared" si="3"/>
        <v>6.4</v>
      </c>
      <c r="P34" s="84" t="s">
        <v>26</v>
      </c>
      <c r="Q34" s="89">
        <f>1/0.48*(+O34*((170.18/O$15)^1)-9.52)</f>
        <v>-5.9552497451579978</v>
      </c>
      <c r="R34" s="90"/>
      <c r="S34" s="78"/>
    </row>
    <row r="35" spans="2:19" ht="18" customHeight="1" x14ac:dyDescent="0.2">
      <c r="D35" s="19"/>
      <c r="E35" s="19"/>
      <c r="F35" s="19"/>
      <c r="H35" s="71"/>
      <c r="K35" s="19"/>
      <c r="M35" s="77"/>
      <c r="N35" s="92" t="str">
        <f>IF(Info!J3, "Corrected Arm Girth", "PR Brazo Corregido")</f>
        <v>PR Brazo Corregido</v>
      </c>
      <c r="O35" s="25">
        <f>IFERROR(K26-PI()*(K18/10), "-")</f>
        <v>18.261062773871643</v>
      </c>
      <c r="P35" s="82" t="s">
        <v>26</v>
      </c>
      <c r="Q35" s="85">
        <f>1/1.91*(+O35*((170.18/O$15)^1)-22.05)</f>
        <v>-1.5931195451031053</v>
      </c>
      <c r="R35" s="91"/>
      <c r="S35" s="78"/>
    </row>
    <row r="36" spans="2:19" ht="18" customHeight="1" x14ac:dyDescent="0.2">
      <c r="K36" s="19"/>
      <c r="M36" s="77"/>
      <c r="N36" s="93" t="str">
        <f>IF(Info!J3, "Corrected Thigh Girth", "PR Muslo Corregido")</f>
        <v>PR Muslo Corregido</v>
      </c>
      <c r="O36" s="26">
        <f>IFERROR(K30-PI()*(K24/10), "-")</f>
        <v>46.210177631384497</v>
      </c>
      <c r="P36" s="83" t="s">
        <v>26</v>
      </c>
      <c r="Q36" s="87">
        <f>1/3.59*(+O36*((170.18/O$15)^1)-47.34)</f>
        <v>0.21118470319186755</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f>IFERROR(K31-PI()*(K25/10), "-")</f>
        <v>30.402655427461433</v>
      </c>
      <c r="P37" s="84" t="s">
        <v>26</v>
      </c>
      <c r="Q37" s="89">
        <f>1/1.97*(+O37*((170.18/O$15)^1)-30.22)</f>
        <v>0.72324593876150645</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0</v>
      </c>
      <c r="F38" s="79">
        <f t="shared" ref="F38:F58" si="12">IF(E14=F14, 1, 0)</f>
        <v>0</v>
      </c>
      <c r="G38" s="79">
        <f t="shared" ref="G38:G58" si="13">IF(F14="", 0, 1)</f>
        <v>0</v>
      </c>
      <c r="H38" s="79">
        <f t="shared" ref="H38:H58" si="14">IF(I14="Yes", 1, 0)</f>
        <v>0</v>
      </c>
      <c r="I38" s="79">
        <f t="shared" ref="I38:J53" si="15">COUNTIF(D14, "")</f>
        <v>0</v>
      </c>
      <c r="J38" s="79">
        <f t="shared" si="15"/>
        <v>0</v>
      </c>
      <c r="K38" s="19"/>
      <c r="M38" s="77"/>
      <c r="S38" s="78"/>
    </row>
    <row r="39" spans="2:19" ht="18" customHeight="1" thickBot="1" x14ac:dyDescent="0.25">
      <c r="B39" s="79">
        <f t="shared" si="9"/>
        <v>2</v>
      </c>
      <c r="C39" s="108" t="str">
        <f t="shared" si="9"/>
        <v>Talla ®</v>
      </c>
      <c r="D39" s="79">
        <f t="shared" si="10"/>
        <v>1</v>
      </c>
      <c r="E39" s="79">
        <f t="shared" si="11"/>
        <v>0</v>
      </c>
      <c r="F39" s="79">
        <f t="shared" si="12"/>
        <v>0</v>
      </c>
      <c r="G39" s="79">
        <f t="shared" si="13"/>
        <v>0</v>
      </c>
      <c r="H39" s="79">
        <f t="shared" si="14"/>
        <v>0</v>
      </c>
      <c r="I39" s="79">
        <f t="shared" si="15"/>
        <v>0</v>
      </c>
      <c r="J39" s="79">
        <f t="shared" si="15"/>
        <v>0</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0</v>
      </c>
      <c r="F40" s="79">
        <f t="shared" si="12"/>
        <v>0</v>
      </c>
      <c r="G40" s="79">
        <f t="shared" si="13"/>
        <v>0</v>
      </c>
      <c r="H40" s="79">
        <f t="shared" si="14"/>
        <v>0</v>
      </c>
      <c r="I40" s="79">
        <f t="shared" si="15"/>
        <v>0</v>
      </c>
      <c r="J40" s="79">
        <f t="shared" si="15"/>
        <v>0</v>
      </c>
      <c r="K40" s="19"/>
      <c r="M40" s="77"/>
      <c r="N40" s="100" t="str">
        <f>'1'!N40</f>
        <v>Endomorfia</v>
      </c>
      <c r="O40" s="276">
        <f>IFERROR(-0.7182+0.1451*((O18+O19+O22)*(170.18/O15))-0.00068*(((O18+O19+O22)*(170.18/O15))^2)+0.0000014*(((O18+O19+O22)*(170.18/O15))^3), "-")</f>
        <v>7.2965483444872907</v>
      </c>
      <c r="P40" s="277"/>
      <c r="R40" s="19"/>
      <c r="S40" s="78"/>
    </row>
    <row r="41" spans="2:19" ht="18" customHeight="1" x14ac:dyDescent="0.2">
      <c r="B41" s="79">
        <f t="shared" si="9"/>
        <v>4</v>
      </c>
      <c r="C41" s="108" t="str">
        <f t="shared" si="9"/>
        <v>Envergadura de Brazos ®</v>
      </c>
      <c r="D41" s="79">
        <f t="shared" si="10"/>
        <v>1</v>
      </c>
      <c r="E41" s="79">
        <f t="shared" si="11"/>
        <v>0</v>
      </c>
      <c r="F41" s="79">
        <f t="shared" si="12"/>
        <v>0</v>
      </c>
      <c r="G41" s="79">
        <f t="shared" si="13"/>
        <v>0</v>
      </c>
      <c r="H41" s="79">
        <f t="shared" si="14"/>
        <v>0</v>
      </c>
      <c r="I41" s="79">
        <f t="shared" si="15"/>
        <v>0</v>
      </c>
      <c r="J41" s="79">
        <f t="shared" si="15"/>
        <v>0</v>
      </c>
      <c r="K41" s="19"/>
      <c r="M41" s="77"/>
      <c r="N41" s="101" t="str">
        <f>'1'!N41</f>
        <v>Mesomorfia</v>
      </c>
      <c r="O41" s="274">
        <f>IFERROR((0.858*O32)+(0.601*O34)+(0.188*(O27-(O18/10)))+(0.161*(O31-(O25/10)))-(0.131*O15)+4.5, "-")</f>
        <v>3.4711999999999961</v>
      </c>
      <c r="P41" s="275"/>
      <c r="S41" s="78"/>
    </row>
    <row r="42" spans="2:19" ht="18" customHeight="1" thickBot="1" x14ac:dyDescent="0.25">
      <c r="B42" s="79">
        <f t="shared" si="9"/>
        <v>5</v>
      </c>
      <c r="C42" s="108" t="str">
        <f t="shared" si="9"/>
        <v>PL Tríceps ®</v>
      </c>
      <c r="D42" s="79">
        <f t="shared" si="10"/>
        <v>0</v>
      </c>
      <c r="E42" s="79">
        <f t="shared" si="11"/>
        <v>0</v>
      </c>
      <c r="F42" s="79">
        <f t="shared" si="12"/>
        <v>1</v>
      </c>
      <c r="G42" s="79">
        <f t="shared" si="13"/>
        <v>1</v>
      </c>
      <c r="H42" s="79">
        <f t="shared" si="14"/>
        <v>1</v>
      </c>
      <c r="I42" s="79">
        <f t="shared" si="15"/>
        <v>0</v>
      </c>
      <c r="J42" s="79">
        <f t="shared" si="15"/>
        <v>0</v>
      </c>
      <c r="K42" s="19"/>
      <c r="M42" s="77"/>
      <c r="N42" s="34" t="str">
        <f>'1'!N42</f>
        <v>Ectomorfia</v>
      </c>
      <c r="O42" s="272">
        <f>IFERROR(IF(O15/(O14^0.3333)&gt;40.75, ((0.732*O15/(O14^0.3333))-28.58), IF(O15/(O14^0.3333)&gt;38.28, ((0.463*O15/(O14^0.3333))-17.63), 0.1)), "-")</f>
        <v>0.59444089054000671</v>
      </c>
      <c r="P42" s="273"/>
      <c r="R42" s="53"/>
      <c r="S42" s="78"/>
    </row>
    <row r="43" spans="2:19" ht="18" customHeight="1" x14ac:dyDescent="0.2">
      <c r="B43" s="79">
        <f t="shared" si="9"/>
        <v>6</v>
      </c>
      <c r="C43" s="108" t="str">
        <f t="shared" si="9"/>
        <v>PL Subescapular ®</v>
      </c>
      <c r="D43" s="79">
        <f t="shared" si="10"/>
        <v>1</v>
      </c>
      <c r="E43" s="79">
        <f t="shared" si="11"/>
        <v>0</v>
      </c>
      <c r="F43" s="79">
        <f t="shared" si="12"/>
        <v>0</v>
      </c>
      <c r="G43" s="79">
        <f t="shared" si="13"/>
        <v>0</v>
      </c>
      <c r="H43" s="79">
        <f t="shared" si="14"/>
        <v>0</v>
      </c>
      <c r="I43" s="79">
        <f t="shared" si="15"/>
        <v>0</v>
      </c>
      <c r="J43" s="79">
        <f t="shared" si="15"/>
        <v>0</v>
      </c>
      <c r="K43" s="19"/>
      <c r="M43" s="77"/>
      <c r="N43" s="100" t="str">
        <f>'1'!N43</f>
        <v>X</v>
      </c>
      <c r="O43" s="276">
        <f>IFERROR(O42-O40, "-")</f>
        <v>-6.702107453947284</v>
      </c>
      <c r="P43" s="277"/>
      <c r="S43" s="78"/>
    </row>
    <row r="44" spans="2:19" ht="18" customHeight="1" thickBot="1" x14ac:dyDescent="0.25">
      <c r="B44" s="79">
        <f t="shared" si="9"/>
        <v>7</v>
      </c>
      <c r="C44" s="108" t="str">
        <f t="shared" si="9"/>
        <v>PL Bíceps ®</v>
      </c>
      <c r="D44" s="79">
        <f t="shared" si="10"/>
        <v>1</v>
      </c>
      <c r="E44" s="79">
        <f t="shared" si="11"/>
        <v>0</v>
      </c>
      <c r="F44" s="79">
        <f t="shared" si="12"/>
        <v>0</v>
      </c>
      <c r="G44" s="79">
        <f t="shared" si="13"/>
        <v>0</v>
      </c>
      <c r="H44" s="79">
        <f t="shared" si="14"/>
        <v>0</v>
      </c>
      <c r="I44" s="79">
        <f t="shared" si="15"/>
        <v>0</v>
      </c>
      <c r="J44" s="79">
        <f t="shared" si="15"/>
        <v>0</v>
      </c>
      <c r="K44" s="19"/>
      <c r="M44" s="77"/>
      <c r="N44" s="34" t="str">
        <f>'1'!N44</f>
        <v>Y</v>
      </c>
      <c r="O44" s="272">
        <f>IFERROR(2*O41-(O42+O40), "-")</f>
        <v>-0.9485892350273053</v>
      </c>
      <c r="P44" s="273"/>
      <c r="S44" s="78"/>
    </row>
    <row r="45" spans="2:19" ht="18" customHeight="1" thickBot="1" x14ac:dyDescent="0.25">
      <c r="B45" s="79">
        <f t="shared" si="9"/>
        <v>8</v>
      </c>
      <c r="C45" s="108" t="str">
        <f t="shared" si="9"/>
        <v>PL Cresta Ilíaca ®</v>
      </c>
      <c r="D45" s="79">
        <f t="shared" si="10"/>
        <v>0</v>
      </c>
      <c r="E45" s="79">
        <f t="shared" si="11"/>
        <v>0</v>
      </c>
      <c r="F45" s="79">
        <f t="shared" si="12"/>
        <v>0</v>
      </c>
      <c r="G45" s="79">
        <f t="shared" si="13"/>
        <v>0</v>
      </c>
      <c r="H45" s="79">
        <f t="shared" si="14"/>
        <v>0</v>
      </c>
      <c r="I45" s="79">
        <f t="shared" si="15"/>
        <v>0</v>
      </c>
      <c r="J45" s="79">
        <f t="shared" si="15"/>
        <v>0</v>
      </c>
      <c r="K45" s="19"/>
      <c r="M45" s="77"/>
      <c r="S45" s="78"/>
    </row>
    <row r="46" spans="2:19" ht="18" customHeight="1" thickBot="1" x14ac:dyDescent="0.25">
      <c r="B46" s="79">
        <f t="shared" si="9"/>
        <v>9</v>
      </c>
      <c r="C46" s="108" t="str">
        <f t="shared" si="9"/>
        <v>PL Supraespinal ®</v>
      </c>
      <c r="D46" s="79">
        <f t="shared" si="10"/>
        <v>0</v>
      </c>
      <c r="E46" s="79">
        <f t="shared" si="11"/>
        <v>0</v>
      </c>
      <c r="F46" s="79">
        <f t="shared" si="12"/>
        <v>0</v>
      </c>
      <c r="G46" s="79">
        <f t="shared" si="13"/>
        <v>0</v>
      </c>
      <c r="H46" s="79">
        <f t="shared" si="14"/>
        <v>0</v>
      </c>
      <c r="I46" s="79">
        <f t="shared" si="15"/>
        <v>0</v>
      </c>
      <c r="J46" s="79">
        <f t="shared" si="15"/>
        <v>0</v>
      </c>
      <c r="M46" s="77"/>
      <c r="N46" s="72" t="str">
        <f>'1'!N46</f>
        <v>Índice de Masa Corporal (IMC)</v>
      </c>
      <c r="O46" s="102">
        <f>IFERROR(O14/(O15/100)^2, "-")</f>
        <v>26.821535785427717</v>
      </c>
      <c r="P46" s="104" t="s">
        <v>34</v>
      </c>
      <c r="S46" s="78"/>
    </row>
    <row r="47" spans="2:19" ht="18" customHeight="1" thickBot="1" x14ac:dyDescent="0.25">
      <c r="B47" s="79">
        <f t="shared" si="9"/>
        <v>10</v>
      </c>
      <c r="C47" s="108" t="str">
        <f t="shared" si="9"/>
        <v>PL Abdominal ®</v>
      </c>
      <c r="D47" s="79">
        <f t="shared" si="10"/>
        <v>0</v>
      </c>
      <c r="E47" s="79">
        <f t="shared" si="11"/>
        <v>0</v>
      </c>
      <c r="F47" s="79">
        <f t="shared" si="12"/>
        <v>1</v>
      </c>
      <c r="G47" s="79">
        <f t="shared" si="13"/>
        <v>1</v>
      </c>
      <c r="H47" s="79">
        <f t="shared" si="14"/>
        <v>1</v>
      </c>
      <c r="I47" s="79">
        <f t="shared" si="15"/>
        <v>0</v>
      </c>
      <c r="J47" s="79">
        <f t="shared" si="15"/>
        <v>0</v>
      </c>
      <c r="M47" s="77"/>
      <c r="S47" s="78"/>
    </row>
    <row r="48" spans="2:19" ht="18" customHeight="1" thickBot="1" x14ac:dyDescent="0.25">
      <c r="B48" s="79">
        <f t="shared" si="9"/>
        <v>11</v>
      </c>
      <c r="C48" s="108" t="str">
        <f t="shared" si="9"/>
        <v>PL Muslo ®</v>
      </c>
      <c r="D48" s="79">
        <f t="shared" si="10"/>
        <v>0</v>
      </c>
      <c r="E48" s="79">
        <f t="shared" si="11"/>
        <v>0</v>
      </c>
      <c r="F48" s="79">
        <f t="shared" si="12"/>
        <v>0</v>
      </c>
      <c r="G48" s="79">
        <f t="shared" si="13"/>
        <v>1</v>
      </c>
      <c r="H48" s="79">
        <f t="shared" si="14"/>
        <v>1</v>
      </c>
      <c r="I48" s="79">
        <f t="shared" si="15"/>
        <v>0</v>
      </c>
      <c r="J48" s="79">
        <f t="shared" si="15"/>
        <v>0</v>
      </c>
      <c r="M48" s="77"/>
      <c r="N48" s="72" t="str">
        <f>'1'!N48</f>
        <v>Índice Cintura/Cadera</v>
      </c>
      <c r="O48" s="293">
        <f>IFERROR(O28/O29, "-")</f>
        <v>0.8287841191066998</v>
      </c>
      <c r="P48" s="294"/>
      <c r="Q48" s="53"/>
      <c r="S48" s="78"/>
    </row>
    <row r="49" spans="2:19" ht="18" customHeight="1" thickBot="1" x14ac:dyDescent="0.25">
      <c r="B49" s="79">
        <f t="shared" si="9"/>
        <v>12</v>
      </c>
      <c r="C49" s="108" t="str">
        <f t="shared" si="9"/>
        <v>PL Pierna ®</v>
      </c>
      <c r="D49" s="79">
        <f t="shared" si="10"/>
        <v>0</v>
      </c>
      <c r="E49" s="79">
        <f t="shared" si="11"/>
        <v>0</v>
      </c>
      <c r="F49" s="79">
        <f t="shared" si="12"/>
        <v>0</v>
      </c>
      <c r="G49" s="79">
        <f t="shared" si="13"/>
        <v>1</v>
      </c>
      <c r="H49" s="79">
        <f t="shared" si="14"/>
        <v>1</v>
      </c>
      <c r="I49" s="79">
        <f t="shared" si="15"/>
        <v>0</v>
      </c>
      <c r="J49" s="79">
        <f t="shared" si="15"/>
        <v>0</v>
      </c>
      <c r="M49" s="77"/>
      <c r="S49" s="78"/>
    </row>
    <row r="50" spans="2:19" ht="18" customHeight="1" thickBot="1" x14ac:dyDescent="0.25">
      <c r="B50" s="79">
        <f t="shared" si="9"/>
        <v>13</v>
      </c>
      <c r="C50" s="108" t="str">
        <f t="shared" si="9"/>
        <v>PR Brazo Relajado ®</v>
      </c>
      <c r="D50" s="79">
        <f t="shared" si="10"/>
        <v>1</v>
      </c>
      <c r="E50" s="79">
        <f t="shared" si="11"/>
        <v>0</v>
      </c>
      <c r="F50" s="79">
        <f t="shared" si="12"/>
        <v>0</v>
      </c>
      <c r="G50" s="79">
        <f t="shared" si="13"/>
        <v>1</v>
      </c>
      <c r="H50" s="79">
        <f t="shared" si="14"/>
        <v>0</v>
      </c>
      <c r="I50" s="79">
        <f t="shared" si="15"/>
        <v>0</v>
      </c>
      <c r="J50" s="79">
        <f t="shared" si="15"/>
        <v>0</v>
      </c>
      <c r="M50" s="77"/>
      <c r="N50" s="72" t="str">
        <f>'1'!N50</f>
        <v>Índice Cintura/Talla</v>
      </c>
      <c r="O50" s="293">
        <f>IFERROR(O28/O15, "-")</f>
        <v>0.5107033639143731</v>
      </c>
      <c r="P50" s="294"/>
      <c r="S50" s="78"/>
    </row>
    <row r="51" spans="2:19" ht="18" customHeight="1" thickBot="1" x14ac:dyDescent="0.25">
      <c r="B51" s="79">
        <f t="shared" si="9"/>
        <v>14</v>
      </c>
      <c r="C51" s="108" t="str">
        <f t="shared" si="9"/>
        <v>PR Brazo Flexionado y Contraído ®</v>
      </c>
      <c r="D51" s="79">
        <f t="shared" si="10"/>
        <v>1</v>
      </c>
      <c r="E51" s="79">
        <f t="shared" si="11"/>
        <v>0</v>
      </c>
      <c r="F51" s="79">
        <f t="shared" si="12"/>
        <v>0</v>
      </c>
      <c r="G51" s="79">
        <f t="shared" si="13"/>
        <v>0</v>
      </c>
      <c r="H51" s="79">
        <f t="shared" si="14"/>
        <v>0</v>
      </c>
      <c r="I51" s="79">
        <f t="shared" si="15"/>
        <v>0</v>
      </c>
      <c r="J51" s="79">
        <f t="shared" si="15"/>
        <v>0</v>
      </c>
      <c r="M51" s="77"/>
      <c r="Q51" s="53"/>
      <c r="S51" s="78"/>
    </row>
    <row r="52" spans="2:19" ht="18" customHeight="1" thickBot="1" x14ac:dyDescent="0.25">
      <c r="B52" s="79">
        <f t="shared" si="9"/>
        <v>15</v>
      </c>
      <c r="C52" s="108" t="str">
        <f t="shared" si="9"/>
        <v>PR Cintura ®</v>
      </c>
      <c r="D52" s="79">
        <f t="shared" si="10"/>
        <v>0</v>
      </c>
      <c r="E52" s="79">
        <f t="shared" si="11"/>
        <v>0</v>
      </c>
      <c r="F52" s="79">
        <f t="shared" si="12"/>
        <v>0</v>
      </c>
      <c r="G52" s="79">
        <f t="shared" si="13"/>
        <v>1</v>
      </c>
      <c r="H52" s="79">
        <f t="shared" si="14"/>
        <v>1</v>
      </c>
      <c r="I52" s="79">
        <f t="shared" si="15"/>
        <v>0</v>
      </c>
      <c r="J52" s="79">
        <f t="shared" si="15"/>
        <v>0</v>
      </c>
      <c r="M52" s="77"/>
      <c r="N52" s="72" t="str">
        <f>'1'!N52</f>
        <v>Sumatorio de 8 pliegues</v>
      </c>
      <c r="O52" s="103">
        <f>IFERROR(SUM(O18:O25), "-")</f>
        <v>187</v>
      </c>
      <c r="P52" s="104" t="s">
        <v>27</v>
      </c>
      <c r="S52" s="78"/>
    </row>
    <row r="53" spans="2:19" ht="18" customHeight="1" thickBot="1" x14ac:dyDescent="0.25">
      <c r="B53" s="79">
        <f t="shared" si="9"/>
        <v>16</v>
      </c>
      <c r="C53" s="108" t="str">
        <f t="shared" si="9"/>
        <v>PR Caderas ®</v>
      </c>
      <c r="D53" s="79">
        <f t="shared" si="10"/>
        <v>0</v>
      </c>
      <c r="E53" s="79">
        <f t="shared" si="11"/>
        <v>0</v>
      </c>
      <c r="F53" s="79">
        <f t="shared" si="12"/>
        <v>0</v>
      </c>
      <c r="G53" s="79">
        <f t="shared" si="13"/>
        <v>0</v>
      </c>
      <c r="H53" s="79">
        <f t="shared" si="14"/>
        <v>0</v>
      </c>
      <c r="I53" s="79">
        <f t="shared" si="15"/>
        <v>0</v>
      </c>
      <c r="J53" s="79">
        <f t="shared" si="15"/>
        <v>0</v>
      </c>
      <c r="M53" s="77"/>
      <c r="P53" s="18"/>
      <c r="S53" s="78"/>
    </row>
    <row r="54" spans="2:19" ht="18" customHeight="1" thickBot="1" x14ac:dyDescent="0.25">
      <c r="B54" s="79">
        <f t="shared" ref="B54:C58" si="16">B30</f>
        <v>17</v>
      </c>
      <c r="C54" s="108" t="str">
        <f t="shared" si="16"/>
        <v>PR Muslo Medio ®</v>
      </c>
      <c r="D54" s="79">
        <f t="shared" si="10"/>
        <v>0</v>
      </c>
      <c r="E54" s="79">
        <f t="shared" si="11"/>
        <v>0</v>
      </c>
      <c r="F54" s="79">
        <f t="shared" si="12"/>
        <v>0</v>
      </c>
      <c r="G54" s="79">
        <f t="shared" si="13"/>
        <v>0</v>
      </c>
      <c r="H54" s="79">
        <f t="shared" si="14"/>
        <v>0</v>
      </c>
      <c r="I54" s="79">
        <f t="shared" ref="I54:J58" si="17">COUNTIF(D30, "")</f>
        <v>0</v>
      </c>
      <c r="J54" s="79">
        <f t="shared" si="17"/>
        <v>0</v>
      </c>
      <c r="M54" s="77"/>
      <c r="N54" s="72" t="str">
        <f>'1'!N54</f>
        <v>Sumatorio de 6 pliegues</v>
      </c>
      <c r="O54" s="103">
        <f>IFERROR(SUM(O18:O19, O22:O25), "-")</f>
        <v>151.5</v>
      </c>
      <c r="P54" s="104" t="s">
        <v>27</v>
      </c>
      <c r="S54" s="78"/>
    </row>
    <row r="55" spans="2:19" ht="18" customHeight="1" thickBot="1" x14ac:dyDescent="0.25">
      <c r="B55" s="79">
        <f t="shared" si="16"/>
        <v>18</v>
      </c>
      <c r="C55" s="108" t="str">
        <f t="shared" si="16"/>
        <v>PR Pierna ®</v>
      </c>
      <c r="D55" s="79">
        <f t="shared" si="10"/>
        <v>0</v>
      </c>
      <c r="E55" s="79">
        <f t="shared" si="11"/>
        <v>0</v>
      </c>
      <c r="F55" s="79">
        <f t="shared" si="12"/>
        <v>0</v>
      </c>
      <c r="G55" s="79">
        <f t="shared" si="13"/>
        <v>0</v>
      </c>
      <c r="H55" s="79">
        <f t="shared" si="14"/>
        <v>0</v>
      </c>
      <c r="I55" s="79">
        <f t="shared" si="17"/>
        <v>0</v>
      </c>
      <c r="J55" s="79">
        <f t="shared" si="17"/>
        <v>0</v>
      </c>
      <c r="M55" s="77"/>
      <c r="S55" s="78"/>
    </row>
    <row r="56" spans="2:19" ht="18" customHeight="1" thickBot="1" x14ac:dyDescent="0.25">
      <c r="B56" s="79">
        <f t="shared" si="16"/>
        <v>19</v>
      </c>
      <c r="C56" s="108" t="str">
        <f t="shared" si="16"/>
        <v>D Húmero ®</v>
      </c>
      <c r="D56" s="79">
        <f t="shared" si="10"/>
        <v>1</v>
      </c>
      <c r="E56" s="79">
        <f t="shared" si="11"/>
        <v>0</v>
      </c>
      <c r="F56" s="79">
        <f t="shared" si="12"/>
        <v>0</v>
      </c>
      <c r="G56" s="79">
        <f t="shared" si="13"/>
        <v>0</v>
      </c>
      <c r="H56" s="79">
        <f t="shared" si="14"/>
        <v>0</v>
      </c>
      <c r="I56" s="79">
        <f t="shared" si="17"/>
        <v>0</v>
      </c>
      <c r="J56" s="79">
        <f t="shared" si="17"/>
        <v>0</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0</v>
      </c>
      <c r="E57" s="79">
        <f t="shared" si="11"/>
        <v>0</v>
      </c>
      <c r="F57" s="79">
        <f t="shared" si="12"/>
        <v>0</v>
      </c>
      <c r="G57" s="79">
        <f t="shared" si="13"/>
        <v>0</v>
      </c>
      <c r="H57" s="79">
        <f t="shared" si="14"/>
        <v>0</v>
      </c>
      <c r="I57" s="79">
        <f t="shared" si="17"/>
        <v>0</v>
      </c>
      <c r="J57" s="79">
        <f t="shared" si="17"/>
        <v>0</v>
      </c>
      <c r="M57" s="77"/>
      <c r="N57" s="55"/>
      <c r="O57" s="72" t="str">
        <f>'1'!O57</f>
        <v>Porcentaje</v>
      </c>
      <c r="P57" s="72" t="str">
        <f>'1'!P57</f>
        <v>Masa Real</v>
      </c>
      <c r="S57" s="78"/>
    </row>
    <row r="58" spans="2:19" ht="18" customHeight="1" x14ac:dyDescent="0.2">
      <c r="B58" s="79">
        <f t="shared" si="16"/>
        <v>21</v>
      </c>
      <c r="C58" s="108" t="str">
        <f t="shared" si="16"/>
        <v>D Fémur ®</v>
      </c>
      <c r="D58" s="79">
        <f t="shared" si="10"/>
        <v>0</v>
      </c>
      <c r="E58" s="79">
        <f t="shared" si="11"/>
        <v>0</v>
      </c>
      <c r="F58" s="79">
        <f t="shared" si="12"/>
        <v>0</v>
      </c>
      <c r="G58" s="79">
        <f t="shared" si="13"/>
        <v>0</v>
      </c>
      <c r="H58" s="79">
        <f t="shared" si="14"/>
        <v>0</v>
      </c>
      <c r="I58" s="79">
        <f t="shared" si="17"/>
        <v>0</v>
      </c>
      <c r="J58" s="79">
        <f t="shared" si="17"/>
        <v>0</v>
      </c>
      <c r="M58" s="77"/>
      <c r="N58" s="206" t="str">
        <f>'1'!N58</f>
        <v>Masa Muscular - Lee</v>
      </c>
      <c r="O58" s="207">
        <f>IFERROR(P58/O14, "-")</f>
        <v>0.27205288581195669</v>
      </c>
      <c r="P58" s="208">
        <f>IFERROR(O15/100*(0.00744*O35^2+0.00088*O36^2+0.00441*O37^2)+(2.4*(IF(O7=1,1,0)))-0.048*((O9-O10)/365.25)+IF(O6="1",-2,IF(O6="2",1.1,0))+7.8, "-")</f>
        <v>19.506191912717295</v>
      </c>
      <c r="S58" s="78"/>
    </row>
    <row r="59" spans="2:19" ht="18" customHeight="1" x14ac:dyDescent="0.2">
      <c r="B59" s="79" t="s">
        <v>44</v>
      </c>
      <c r="C59" s="108" t="s">
        <v>45</v>
      </c>
      <c r="D59" s="79">
        <f t="shared" ref="D59:J59" si="18">SUM(D38:D58)</f>
        <v>9</v>
      </c>
      <c r="E59" s="79">
        <f t="shared" si="18"/>
        <v>0</v>
      </c>
      <c r="F59" s="79">
        <f t="shared" si="18"/>
        <v>2</v>
      </c>
      <c r="G59" s="79">
        <f t="shared" si="18"/>
        <v>6</v>
      </c>
      <c r="H59" s="79">
        <f t="shared" si="18"/>
        <v>5</v>
      </c>
      <c r="I59" s="79">
        <f t="shared" si="18"/>
        <v>0</v>
      </c>
      <c r="J59" s="79">
        <f t="shared" si="18"/>
        <v>0</v>
      </c>
      <c r="M59" s="77"/>
      <c r="N59" s="209" t="str">
        <f>'1'!N59</f>
        <v>Masa Ósea - Rocha</v>
      </c>
      <c r="O59" s="210">
        <f>IFERROR(P59/O14, "-")</f>
        <v>0.10822863061316496</v>
      </c>
      <c r="P59" s="211">
        <f>IFERROR(3.02*(((O15/100)^2)*(O33/100)*(O34/100)*400)^0.712, "-")</f>
        <v>7.7599928149639279</v>
      </c>
      <c r="R59" s="53"/>
      <c r="S59" s="78"/>
    </row>
    <row r="60" spans="2:19" ht="18" customHeight="1" x14ac:dyDescent="0.2">
      <c r="B60" s="79"/>
      <c r="C60" s="108"/>
      <c r="D60" s="79"/>
      <c r="E60" s="79"/>
      <c r="F60" s="79"/>
      <c r="G60" s="79"/>
      <c r="H60" s="79"/>
      <c r="I60" s="79"/>
      <c r="J60" s="79"/>
      <c r="M60" s="77"/>
      <c r="N60" s="212" t="str">
        <f>'1'!N60</f>
        <v>Masa Residual</v>
      </c>
      <c r="O60" s="213">
        <f>IFERROR(1-O58-O61-O59, "-")</f>
        <v>0.2172397806158099</v>
      </c>
      <c r="P60" s="214">
        <f>IFERROR(O14-P58-P61-P59, "-")</f>
        <v>15.576092270153564</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71.7</v>
      </c>
      <c r="F61" s="79">
        <f t="shared" ref="F61:F81" si="22">ABS(E14-F14)</f>
        <v>71.7</v>
      </c>
      <c r="G61" s="109">
        <f t="shared" ref="G61:G81" si="23">IF(D61=MIN(D61:F61), D14, IF(E61=MIN(D61:F61), D14, E14))</f>
        <v>71.7</v>
      </c>
      <c r="H61" s="109">
        <f t="shared" ref="H61:H81" si="24">IF(D61=MIN(D61:F61), E14, IF(E61=MIN(D61:F61), F14, F14))</f>
        <v>71.7</v>
      </c>
      <c r="I61" s="79"/>
      <c r="J61" s="79"/>
      <c r="M61" s="77"/>
      <c r="N61" s="215" t="str">
        <f>'1'!N61</f>
        <v>Masa Adiposa - Kerr</v>
      </c>
      <c r="O61" s="216">
        <f>IFERROR(P61/O14, "-")</f>
        <v>0.40247870295906851</v>
      </c>
      <c r="P61" s="217">
        <f>IFERROR((((((O54*(170.18/O15)-116.41)/34.79)*5.85)+25.6)/(170.18/O15)^3), "-")</f>
        <v>28.857723002165212</v>
      </c>
      <c r="S61" s="78"/>
    </row>
    <row r="62" spans="2:19" ht="18" customHeight="1" x14ac:dyDescent="0.2">
      <c r="B62" s="79">
        <f t="shared" si="19"/>
        <v>2</v>
      </c>
      <c r="C62" s="108" t="str">
        <f t="shared" si="19"/>
        <v>Talla ®</v>
      </c>
      <c r="D62" s="79">
        <f t="shared" si="20"/>
        <v>0</v>
      </c>
      <c r="E62" s="79">
        <f t="shared" si="21"/>
        <v>163.5</v>
      </c>
      <c r="F62" s="79">
        <f t="shared" si="22"/>
        <v>163.5</v>
      </c>
      <c r="G62" s="109">
        <f t="shared" si="23"/>
        <v>163.5</v>
      </c>
      <c r="H62" s="109">
        <f t="shared" si="24"/>
        <v>163.5</v>
      </c>
      <c r="I62" s="79"/>
      <c r="J62" s="79"/>
      <c r="M62" s="77"/>
      <c r="N62" s="200" t="str">
        <f>'1'!N62</f>
        <v>Masa Grasa - Faulkner</v>
      </c>
      <c r="O62" s="201">
        <f>IFERROR(IF(O7=1, 0.153*(O18+O19+O22+O23)+5.783, 0.213*(O18+O19+O22+O23)+7.9)/100, "-")</f>
        <v>0.30584499999999998</v>
      </c>
      <c r="P62" s="202">
        <f>IFERROR(O14*O62, "-")</f>
        <v>21.9290865</v>
      </c>
      <c r="S62" s="78"/>
    </row>
    <row r="63" spans="2:19" ht="18" customHeight="1" thickBot="1" x14ac:dyDescent="0.25">
      <c r="B63" s="79">
        <f t="shared" si="19"/>
        <v>3</v>
      </c>
      <c r="C63" s="108" t="str">
        <f t="shared" si="19"/>
        <v>Talla Sentado ®</v>
      </c>
      <c r="D63" s="79" t="e">
        <f t="shared" si="20"/>
        <v>#VALUE!</v>
      </c>
      <c r="E63" s="79" t="e">
        <f t="shared" si="21"/>
        <v>#VALUE!</v>
      </c>
      <c r="F63" s="79" t="e">
        <f t="shared" si="22"/>
        <v>#VALUE!</v>
      </c>
      <c r="G63" s="109" t="e">
        <f t="shared" si="23"/>
        <v>#VALUE!</v>
      </c>
      <c r="H63" s="109" t="e">
        <f t="shared" si="24"/>
        <v>#VALUE!</v>
      </c>
      <c r="I63" s="79"/>
      <c r="J63" s="79"/>
      <c r="M63" s="77"/>
      <c r="N63" s="203" t="str">
        <f>'1'!N63</f>
        <v>Masa Grasa - Carter</v>
      </c>
      <c r="O63" s="204">
        <f>IFERROR(IF(O54=0, "-", IF(O7=1, 0.1051*(O54)+2.58, 0.1548*(O54)+3.58)/100), "-")</f>
        <v>0.27032199999999995</v>
      </c>
      <c r="P63" s="205">
        <f>IFERROR(O14*O63, "-")</f>
        <v>19.382087399999996</v>
      </c>
      <c r="S63" s="78"/>
    </row>
    <row r="64" spans="2:19" ht="18" customHeight="1" thickBot="1" x14ac:dyDescent="0.25">
      <c r="B64" s="79">
        <f t="shared" si="19"/>
        <v>4</v>
      </c>
      <c r="C64" s="108" t="str">
        <f t="shared" si="19"/>
        <v>Envergadura de Brazos ®</v>
      </c>
      <c r="D64" s="79" t="e">
        <f t="shared" si="20"/>
        <v>#VALUE!</v>
      </c>
      <c r="E64" s="79" t="e">
        <f t="shared" si="21"/>
        <v>#VALUE!</v>
      </c>
      <c r="F64" s="79" t="e">
        <f t="shared" si="22"/>
        <v>#VALUE!</v>
      </c>
      <c r="G64" s="109" t="e">
        <f t="shared" si="23"/>
        <v>#VALUE!</v>
      </c>
      <c r="H64" s="109" t="e">
        <f t="shared" si="24"/>
        <v>#VALUE!</v>
      </c>
      <c r="I64" s="79"/>
      <c r="J64" s="79"/>
      <c r="M64" s="77"/>
      <c r="N64" s="72" t="str">
        <f>'1'!N64</f>
        <v>Masa Total</v>
      </c>
      <c r="O64" s="106">
        <f>IFERROR(SUM(O58:O61), "-")</f>
        <v>1</v>
      </c>
      <c r="P64" s="107">
        <f>IFERROR(SUM(P58:P61), "-")</f>
        <v>71.7</v>
      </c>
      <c r="R64" s="53"/>
      <c r="S64" s="78"/>
    </row>
    <row r="65" spans="2:19" ht="18" customHeight="1" thickBot="1" x14ac:dyDescent="0.25">
      <c r="B65" s="79">
        <f t="shared" si="19"/>
        <v>5</v>
      </c>
      <c r="C65" s="108" t="str">
        <f t="shared" si="19"/>
        <v>PL Tríceps ®</v>
      </c>
      <c r="D65" s="79">
        <f t="shared" si="20"/>
        <v>4</v>
      </c>
      <c r="E65" s="79">
        <f t="shared" si="21"/>
        <v>4</v>
      </c>
      <c r="F65" s="79">
        <f t="shared" si="22"/>
        <v>0</v>
      </c>
      <c r="G65" s="109">
        <f t="shared" si="23"/>
        <v>31</v>
      </c>
      <c r="H65" s="109">
        <f t="shared" si="24"/>
        <v>31</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21</v>
      </c>
      <c r="F66" s="79">
        <f t="shared" si="22"/>
        <v>21</v>
      </c>
      <c r="G66" s="109">
        <f t="shared" si="23"/>
        <v>21</v>
      </c>
      <c r="H66" s="109">
        <f t="shared" si="24"/>
        <v>21</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15</v>
      </c>
      <c r="F67" s="79">
        <f t="shared" si="22"/>
        <v>15</v>
      </c>
      <c r="G67" s="109">
        <f t="shared" si="23"/>
        <v>15</v>
      </c>
      <c r="H67" s="109">
        <f t="shared" si="24"/>
        <v>15</v>
      </c>
      <c r="I67" s="79"/>
      <c r="J67" s="79"/>
      <c r="R67" s="53"/>
    </row>
    <row r="68" spans="2:19" ht="18" customHeight="1" x14ac:dyDescent="0.2">
      <c r="B68" s="79">
        <f t="shared" si="19"/>
        <v>8</v>
      </c>
      <c r="C68" s="108" t="str">
        <f t="shared" si="19"/>
        <v>PL Cresta Ilíaca ®</v>
      </c>
      <c r="D68" s="79">
        <f t="shared" si="20"/>
        <v>1</v>
      </c>
      <c r="E68" s="79">
        <f t="shared" si="21"/>
        <v>20</v>
      </c>
      <c r="F68" s="79">
        <f t="shared" si="22"/>
        <v>21</v>
      </c>
      <c r="G68" s="109">
        <f t="shared" si="23"/>
        <v>20</v>
      </c>
      <c r="H68" s="109">
        <f t="shared" si="24"/>
        <v>21</v>
      </c>
      <c r="I68" s="79"/>
      <c r="J68" s="79"/>
    </row>
    <row r="69" spans="2:19" ht="18" customHeight="1" x14ac:dyDescent="0.2">
      <c r="B69" s="79">
        <f t="shared" si="19"/>
        <v>9</v>
      </c>
      <c r="C69" s="108" t="str">
        <f t="shared" si="19"/>
        <v>PL Supraespinal ®</v>
      </c>
      <c r="D69" s="79">
        <f t="shared" si="20"/>
        <v>1</v>
      </c>
      <c r="E69" s="79">
        <f t="shared" si="21"/>
        <v>26</v>
      </c>
      <c r="F69" s="79">
        <f t="shared" si="22"/>
        <v>25</v>
      </c>
      <c r="G69" s="109">
        <f t="shared" si="23"/>
        <v>26</v>
      </c>
      <c r="H69" s="109">
        <f t="shared" si="24"/>
        <v>25</v>
      </c>
      <c r="I69" s="79"/>
      <c r="J69" s="79"/>
    </row>
    <row r="70" spans="2:19" ht="18" customHeight="1" x14ac:dyDescent="0.2">
      <c r="B70" s="79">
        <f t="shared" si="19"/>
        <v>10</v>
      </c>
      <c r="C70" s="108" t="str">
        <f t="shared" si="19"/>
        <v>PL Abdominal ®</v>
      </c>
      <c r="D70" s="79">
        <f t="shared" si="20"/>
        <v>4</v>
      </c>
      <c r="E70" s="79">
        <f t="shared" si="21"/>
        <v>4</v>
      </c>
      <c r="F70" s="79">
        <f t="shared" si="22"/>
        <v>0</v>
      </c>
      <c r="G70" s="109">
        <f t="shared" si="23"/>
        <v>29</v>
      </c>
      <c r="H70" s="109">
        <f t="shared" si="24"/>
        <v>29</v>
      </c>
      <c r="I70" s="79"/>
      <c r="J70" s="79"/>
    </row>
    <row r="71" spans="2:19" ht="18" customHeight="1" x14ac:dyDescent="0.2">
      <c r="B71" s="79">
        <f t="shared" si="19"/>
        <v>11</v>
      </c>
      <c r="C71" s="108" t="str">
        <f t="shared" si="19"/>
        <v>PL Muslo ®</v>
      </c>
      <c r="D71" s="79">
        <f t="shared" si="20"/>
        <v>4</v>
      </c>
      <c r="E71" s="79">
        <f t="shared" si="21"/>
        <v>1</v>
      </c>
      <c r="F71" s="79">
        <f t="shared" si="22"/>
        <v>5</v>
      </c>
      <c r="G71" s="109">
        <f t="shared" si="23"/>
        <v>24</v>
      </c>
      <c r="H71" s="109">
        <f t="shared" si="24"/>
        <v>23</v>
      </c>
      <c r="I71" s="79"/>
      <c r="J71" s="79"/>
    </row>
    <row r="72" spans="2:19" ht="18" customHeight="1" x14ac:dyDescent="0.2">
      <c r="B72" s="79">
        <f t="shared" si="19"/>
        <v>12</v>
      </c>
      <c r="C72" s="108" t="str">
        <f t="shared" si="19"/>
        <v>PL Pierna ®</v>
      </c>
      <c r="D72" s="79">
        <f t="shared" si="20"/>
        <v>3</v>
      </c>
      <c r="E72" s="79">
        <f t="shared" si="21"/>
        <v>2</v>
      </c>
      <c r="F72" s="79">
        <f t="shared" si="22"/>
        <v>1</v>
      </c>
      <c r="G72" s="109">
        <f t="shared" si="23"/>
        <v>22</v>
      </c>
      <c r="H72" s="109">
        <f t="shared" si="24"/>
        <v>21</v>
      </c>
      <c r="I72" s="79"/>
      <c r="J72" s="79"/>
    </row>
    <row r="73" spans="2:19" ht="18" customHeight="1" x14ac:dyDescent="0.2">
      <c r="B73" s="79">
        <f t="shared" si="19"/>
        <v>13</v>
      </c>
      <c r="C73" s="108" t="str">
        <f t="shared" si="19"/>
        <v>PR Brazo Relajado ®</v>
      </c>
      <c r="D73" s="79">
        <f t="shared" si="20"/>
        <v>0</v>
      </c>
      <c r="E73" s="79">
        <f t="shared" si="21"/>
        <v>4</v>
      </c>
      <c r="F73" s="79">
        <f t="shared" si="22"/>
        <v>4</v>
      </c>
      <c r="G73" s="109">
        <f t="shared" si="23"/>
        <v>28</v>
      </c>
      <c r="H73" s="109">
        <f t="shared" si="24"/>
        <v>28</v>
      </c>
      <c r="I73" s="79"/>
      <c r="J73" s="79"/>
    </row>
    <row r="74" spans="2:19" ht="18" customHeight="1" x14ac:dyDescent="0.2">
      <c r="B74" s="79">
        <f t="shared" si="19"/>
        <v>14</v>
      </c>
      <c r="C74" s="108" t="str">
        <f t="shared" si="19"/>
        <v>PR Brazo Flexionado y Contraído ®</v>
      </c>
      <c r="D74" s="79">
        <f t="shared" si="20"/>
        <v>0</v>
      </c>
      <c r="E74" s="79">
        <f t="shared" si="21"/>
        <v>32</v>
      </c>
      <c r="F74" s="79">
        <f t="shared" si="22"/>
        <v>32</v>
      </c>
      <c r="G74" s="109">
        <f t="shared" si="23"/>
        <v>32</v>
      </c>
      <c r="H74" s="109">
        <f t="shared" si="24"/>
        <v>32</v>
      </c>
      <c r="I74" s="79"/>
      <c r="J74" s="79"/>
    </row>
    <row r="75" spans="2:19" ht="18" customHeight="1" x14ac:dyDescent="0.2">
      <c r="B75" s="79">
        <f t="shared" si="19"/>
        <v>15</v>
      </c>
      <c r="C75" s="108" t="str">
        <f t="shared" si="19"/>
        <v>PR Cintura ®</v>
      </c>
      <c r="D75" s="79">
        <f t="shared" si="20"/>
        <v>1</v>
      </c>
      <c r="E75" s="79" t="e">
        <f t="shared" si="21"/>
        <v>#VALUE!</v>
      </c>
      <c r="F75" s="79" t="e">
        <f t="shared" si="22"/>
        <v>#VALUE!</v>
      </c>
      <c r="G75" s="109" t="e">
        <f t="shared" si="23"/>
        <v>#VALUE!</v>
      </c>
      <c r="H75" s="109" t="e">
        <f t="shared" si="24"/>
        <v>#VALUE!</v>
      </c>
      <c r="I75" s="79"/>
      <c r="J75" s="79"/>
    </row>
    <row r="76" spans="2:19" ht="18" customHeight="1" x14ac:dyDescent="0.2">
      <c r="B76" s="79">
        <f t="shared" si="19"/>
        <v>16</v>
      </c>
      <c r="C76" s="108" t="str">
        <f t="shared" si="19"/>
        <v>PR Caderas ®</v>
      </c>
      <c r="D76" s="79">
        <f t="shared" si="20"/>
        <v>0.5</v>
      </c>
      <c r="E76" s="79">
        <f t="shared" si="21"/>
        <v>100.5</v>
      </c>
      <c r="F76" s="79">
        <f t="shared" si="22"/>
        <v>101</v>
      </c>
      <c r="G76" s="109">
        <f t="shared" si="23"/>
        <v>100.5</v>
      </c>
      <c r="H76" s="109">
        <f t="shared" si="24"/>
        <v>101</v>
      </c>
      <c r="I76" s="79"/>
      <c r="J76" s="79"/>
    </row>
    <row r="77" spans="2:19" ht="18" customHeight="1" x14ac:dyDescent="0.2">
      <c r="B77" s="79">
        <f t="shared" ref="B77:C81" si="25">B30</f>
        <v>17</v>
      </c>
      <c r="C77" s="108" t="str">
        <f t="shared" si="25"/>
        <v>PR Muslo Medio ®</v>
      </c>
      <c r="D77" s="79">
        <f t="shared" si="20"/>
        <v>0.5</v>
      </c>
      <c r="E77" s="79">
        <f t="shared" si="21"/>
        <v>53.5</v>
      </c>
      <c r="F77" s="79">
        <f t="shared" si="22"/>
        <v>54</v>
      </c>
      <c r="G77" s="109">
        <f t="shared" si="23"/>
        <v>53.5</v>
      </c>
      <c r="H77" s="109">
        <f t="shared" si="24"/>
        <v>54</v>
      </c>
      <c r="I77" s="79"/>
      <c r="J77" s="79"/>
    </row>
    <row r="78" spans="2:19" ht="18" customHeight="1" x14ac:dyDescent="0.2">
      <c r="B78" s="79">
        <f t="shared" si="25"/>
        <v>18</v>
      </c>
      <c r="C78" s="108" t="str">
        <f t="shared" si="25"/>
        <v>PR Pierna ®</v>
      </c>
      <c r="D78" s="79" t="e">
        <f t="shared" si="20"/>
        <v>#VALUE!</v>
      </c>
      <c r="E78" s="79" t="e">
        <f t="shared" si="21"/>
        <v>#VALUE!</v>
      </c>
      <c r="F78" s="79">
        <f t="shared" si="22"/>
        <v>37</v>
      </c>
      <c r="G78" s="109" t="e">
        <f t="shared" si="23"/>
        <v>#VALUE!</v>
      </c>
      <c r="H78" s="109" t="e">
        <f t="shared" si="24"/>
        <v>#VALUE!</v>
      </c>
      <c r="I78" s="79"/>
      <c r="J78" s="79"/>
    </row>
    <row r="79" spans="2:19" ht="18" customHeight="1" x14ac:dyDescent="0.2">
      <c r="B79" s="79">
        <f t="shared" si="25"/>
        <v>19</v>
      </c>
      <c r="C79" s="108" t="str">
        <f t="shared" si="25"/>
        <v>D Húmero ®</v>
      </c>
      <c r="D79" s="79">
        <f t="shared" si="20"/>
        <v>0</v>
      </c>
      <c r="E79" s="79">
        <f t="shared" si="21"/>
        <v>6.4</v>
      </c>
      <c r="F79" s="79">
        <f t="shared" si="22"/>
        <v>6.4</v>
      </c>
      <c r="G79" s="109">
        <f t="shared" si="23"/>
        <v>6.4</v>
      </c>
      <c r="H79" s="109">
        <f t="shared" si="24"/>
        <v>6.4</v>
      </c>
      <c r="I79" s="79"/>
      <c r="J79" s="79"/>
    </row>
    <row r="80" spans="2:19" ht="18" customHeight="1" x14ac:dyDescent="0.2">
      <c r="B80" s="79">
        <f t="shared" si="25"/>
        <v>20</v>
      </c>
      <c r="C80" s="108" t="str">
        <f t="shared" si="25"/>
        <v>D Biestiloideo ®</v>
      </c>
      <c r="D80" s="79" t="e">
        <f t="shared" si="20"/>
        <v>#VALUE!</v>
      </c>
      <c r="E80" s="79">
        <f t="shared" si="21"/>
        <v>5.5</v>
      </c>
      <c r="F80" s="79" t="e">
        <f t="shared" si="22"/>
        <v>#VALUE!</v>
      </c>
      <c r="G80" s="109" t="e">
        <f t="shared" si="23"/>
        <v>#VALUE!</v>
      </c>
      <c r="H80" s="109" t="e">
        <f t="shared" si="24"/>
        <v>#VALUE!</v>
      </c>
      <c r="I80" s="79"/>
      <c r="J80" s="79"/>
    </row>
    <row r="81" spans="2:10" ht="18" customHeight="1" x14ac:dyDescent="0.2">
      <c r="B81" s="79">
        <f t="shared" si="25"/>
        <v>21</v>
      </c>
      <c r="C81" s="108" t="str">
        <f t="shared" si="25"/>
        <v>D Fémur ®</v>
      </c>
      <c r="D81" s="79" t="e">
        <f t="shared" si="20"/>
        <v>#VALUE!</v>
      </c>
      <c r="E81" s="79">
        <f t="shared" si="21"/>
        <v>6.4</v>
      </c>
      <c r="F81" s="79" t="e">
        <f t="shared" si="22"/>
        <v>#VALUE!</v>
      </c>
      <c r="G81" s="109" t="e">
        <f t="shared" si="23"/>
        <v>#VALUE!</v>
      </c>
      <c r="H81" s="109" t="e">
        <f t="shared" si="24"/>
        <v>#VALUE!</v>
      </c>
      <c r="I81" s="79"/>
      <c r="J81" s="79"/>
    </row>
  </sheetData>
  <sheetProtection algorithmName="SHA-512" hashValue="Gp/tYlaYTfnuCsrCI77sQLzxJbQ5Jwh9Je38KpptV9aM3NCnTKHN0xpOeCHEmxse1kMBY1E5LYZMJruhpMBCoQ==" saltValue="H5WHDhZIGOHYW6Axij0IsQ=="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86" priority="1">
      <formula>LEN(TRIM(D3))=0</formula>
    </cfRule>
  </conditionalFormatting>
  <conditionalFormatting sqref="D14:F34">
    <cfRule type="containsBlanks" dxfId="85" priority="5">
      <formula>LEN(TRIM(D14))=0</formula>
    </cfRule>
  </conditionalFormatting>
  <conditionalFormatting sqref="F14:F34">
    <cfRule type="expression" dxfId="84" priority="4">
      <formula>I14="No"</formula>
    </cfRule>
  </conditionalFormatting>
  <conditionalFormatting sqref="I14:I34">
    <cfRule type="expression" dxfId="83" priority="2">
      <formula>F14&lt;&gt;""</formula>
    </cfRule>
    <cfRule type="containsText" dxfId="82" priority="3" operator="containsText" text="Yes">
      <formula>NOT(ISERROR(SEARCH("Yes",I14)))</formula>
    </cfRule>
  </conditionalFormatting>
  <dataValidations count="2">
    <dataValidation type="list" allowBlank="1" showInputMessage="1" showErrorMessage="1" sqref="D7:F7" xr:uid="{26EE2A88-1A7E-754F-A874-50B330B900DA}">
      <formula1>"1, 2"</formula1>
    </dataValidation>
    <dataValidation type="list" allowBlank="1" showInputMessage="1" showErrorMessage="1" sqref="D6:F6" xr:uid="{699817C8-9814-C94B-A958-C85635F36717}">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5150F-3209-2048-834B-79B2DC38C83F}">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LV3ITPBTEHfGCCe5ZhTEPZoWt6U3IQ2OVgR24jNkJXrGhqlwNYuklzXvFW2YG7LyV0goN3ZBYD9Wd7Y8y51ukg==" saltValue="NMGxT2eOD6+Kx4Wxdg+I+w==" spinCount="100000" sheet="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81" priority="1">
      <formula>LEN(TRIM(D3))=0</formula>
    </cfRule>
  </conditionalFormatting>
  <conditionalFormatting sqref="D14:F34">
    <cfRule type="containsBlanks" dxfId="80" priority="5">
      <formula>LEN(TRIM(D14))=0</formula>
    </cfRule>
  </conditionalFormatting>
  <conditionalFormatting sqref="F14:F34">
    <cfRule type="expression" dxfId="79" priority="4">
      <formula>I14="No"</formula>
    </cfRule>
  </conditionalFormatting>
  <conditionalFormatting sqref="I14:I34">
    <cfRule type="expression" dxfId="78" priority="2">
      <formula>F14&lt;&gt;""</formula>
    </cfRule>
    <cfRule type="containsText" dxfId="77" priority="3" operator="containsText" text="Yes">
      <formula>NOT(ISERROR(SEARCH("Yes",I14)))</formula>
    </cfRule>
  </conditionalFormatting>
  <dataValidations count="2">
    <dataValidation type="list" allowBlank="1" showInputMessage="1" showErrorMessage="1" sqref="D7:F7" xr:uid="{EAFD9BBD-031F-EF45-8E2D-1278DD458FFF}">
      <formula1>"1, 2"</formula1>
    </dataValidation>
    <dataValidation type="list" allowBlank="1" showInputMessage="1" showErrorMessage="1" sqref="D6:F6" xr:uid="{B2CF65D5-5234-B947-9D57-5BDB00269171}">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6FD5C-32F3-FD46-9CA8-32B322B6203A}">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fh+Tv2KKN+lP6l+KZcF41pKaqElbcUUTPq33GEUJq04pxShCezOaii9+Qd2rsKcwC7nan6bMYYJOWEVtG3Gfxw==" saltValue="t19q/fJwpw94pxyLJgGCIw==" spinCount="100000" sheet="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76" priority="1">
      <formula>LEN(TRIM(D3))=0</formula>
    </cfRule>
  </conditionalFormatting>
  <conditionalFormatting sqref="D14:F34">
    <cfRule type="containsBlanks" dxfId="75" priority="5">
      <formula>LEN(TRIM(D14))=0</formula>
    </cfRule>
  </conditionalFormatting>
  <conditionalFormatting sqref="F14:F34">
    <cfRule type="expression" dxfId="74" priority="4">
      <formula>I14="No"</formula>
    </cfRule>
  </conditionalFormatting>
  <conditionalFormatting sqref="I14:I34">
    <cfRule type="expression" dxfId="73" priority="2">
      <formula>F14&lt;&gt;""</formula>
    </cfRule>
    <cfRule type="containsText" dxfId="72" priority="3" operator="containsText" text="Yes">
      <formula>NOT(ISERROR(SEARCH("Yes",I14)))</formula>
    </cfRule>
  </conditionalFormatting>
  <dataValidations count="2">
    <dataValidation type="list" allowBlank="1" showInputMessage="1" showErrorMessage="1" sqref="D7:F7" xr:uid="{5B652272-C8E4-6E44-B3DB-62042F625CDF}">
      <formula1>"1, 2"</formula1>
    </dataValidation>
    <dataValidation type="list" allowBlank="1" showInputMessage="1" showErrorMessage="1" sqref="D6:F6" xr:uid="{B4D1FD03-5123-9F47-A2ED-8F41CE1A850E}">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A13AA-2FD7-FC42-A685-947C5207C787}">
  <sheetPr>
    <pageSetUpPr fitToPage="1"/>
  </sheetPr>
  <dimension ref="B1:U81"/>
  <sheetViews>
    <sheetView showGridLines="0" topLeftCell="A3"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BFA7Exy6W8vcsPXakRmOOHpbljya5Jc2fXanGUSl7mHA9ix8HT8bB5yu2SK+aVYj9woMKYNmrAaWiVu6d7pu9Q==" saltValue="YLr/TkUpGVXErb1NEOjDmw=="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71" priority="1">
      <formula>LEN(TRIM(D3))=0</formula>
    </cfRule>
  </conditionalFormatting>
  <conditionalFormatting sqref="D14:F34">
    <cfRule type="containsBlanks" dxfId="70" priority="5">
      <formula>LEN(TRIM(D14))=0</formula>
    </cfRule>
  </conditionalFormatting>
  <conditionalFormatting sqref="F14:F34">
    <cfRule type="expression" dxfId="69" priority="4">
      <formula>I14="No"</formula>
    </cfRule>
  </conditionalFormatting>
  <conditionalFormatting sqref="I14:I34">
    <cfRule type="expression" dxfId="68" priority="2">
      <formula>F14&lt;&gt;""</formula>
    </cfRule>
    <cfRule type="containsText" dxfId="67" priority="3" operator="containsText" text="Yes">
      <formula>NOT(ISERROR(SEARCH("Yes",I14)))</formula>
    </cfRule>
  </conditionalFormatting>
  <dataValidations count="2">
    <dataValidation type="list" allowBlank="1" showInputMessage="1" showErrorMessage="1" sqref="D7:F7" xr:uid="{51AFAB6F-8F60-DA41-ABB9-AF3318942A4A}">
      <formula1>"1, 2"</formula1>
    </dataValidation>
    <dataValidation type="list" allowBlank="1" showInputMessage="1" showErrorMessage="1" sqref="D6:F6" xr:uid="{2D0120CE-9020-264D-90E6-19E44C375618}">
      <formula1>"1, 2, 3"</formula1>
    </dataValidation>
  </dataValidations>
  <printOptions horizontalCentered="1" verticalCentered="1"/>
  <pageMargins left="0" right="0" top="0" bottom="0" header="0" footer="0"/>
  <pageSetup paperSize="9" scale="68" orientation="portrait"/>
  <headerFooter alignWithMargins="0"/>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1F790E-F0D0-B441-9478-3A460DE6FB09}">
  <sheetPr>
    <pageSetUpPr fitToPage="1"/>
  </sheetPr>
  <dimension ref="B1:U81"/>
  <sheetViews>
    <sheetView showGridLines="0" zoomScale="63" zoomScaleNormal="75" zoomScaleSheetLayoutView="75" workbookViewId="0">
      <selection activeCell="D3" sqref="D3:F3"/>
    </sheetView>
  </sheetViews>
  <sheetFormatPr baseColWidth="10" defaultColWidth="6" defaultRowHeight="12.75" x14ac:dyDescent="0.2"/>
  <cols>
    <col min="1" max="1" width="3.28515625" style="9" customWidth="1"/>
    <col min="2" max="2" width="6" style="9" customWidth="1"/>
    <col min="3" max="3" width="38.140625" style="18" customWidth="1"/>
    <col min="4" max="6" width="14.42578125" style="9" customWidth="1"/>
    <col min="7" max="7" width="6" style="9" customWidth="1"/>
    <col min="8" max="9" width="10.7109375" style="9" customWidth="1"/>
    <col min="10" max="10" width="6" style="9" customWidth="1"/>
    <col min="11" max="12" width="10.7109375" style="9" customWidth="1"/>
    <col min="13" max="13" width="3.28515625" style="9" customWidth="1"/>
    <col min="14" max="14" width="39.28515625" style="9" bestFit="1" customWidth="1"/>
    <col min="15" max="17" width="15.7109375" style="9" customWidth="1"/>
    <col min="18" max="18" width="45.42578125" style="9" customWidth="1"/>
    <col min="19" max="19" width="3.28515625" style="9" customWidth="1"/>
    <col min="20" max="16384" width="6" style="9"/>
  </cols>
  <sheetData>
    <row r="1" spans="2:21" s="75" customFormat="1" ht="22.9" customHeight="1" thickTop="1" x14ac:dyDescent="0.2">
      <c r="B1" s="76"/>
      <c r="C1" s="256" t="str">
        <f>'1'!C1</f>
        <v>PROFORMA PERFIL RESTRINGIDO ISAK</v>
      </c>
      <c r="D1" s="256"/>
      <c r="E1" s="256"/>
      <c r="F1" s="256"/>
      <c r="G1" s="256"/>
      <c r="H1" s="256"/>
      <c r="I1" s="256"/>
      <c r="J1" s="256"/>
      <c r="K1" s="256"/>
      <c r="M1" s="257" t="str">
        <f>'1'!M1</f>
        <v>INFORME PROFORMA ISAK</v>
      </c>
      <c r="N1" s="258"/>
      <c r="O1" s="258"/>
      <c r="P1" s="258"/>
      <c r="Q1" s="258"/>
      <c r="R1" s="258"/>
      <c r="S1" s="259"/>
      <c r="T1" s="76"/>
      <c r="U1" s="76"/>
    </row>
    <row r="2" spans="2:21" ht="18" customHeight="1" thickBot="1" x14ac:dyDescent="0.25">
      <c r="M2" s="77"/>
      <c r="S2" s="78"/>
    </row>
    <row r="3" spans="2:21" ht="18" customHeight="1" x14ac:dyDescent="0.2">
      <c r="C3" s="47" t="str">
        <f>'1'!C3</f>
        <v>Nombre</v>
      </c>
      <c r="D3" s="263"/>
      <c r="E3" s="264"/>
      <c r="F3" s="265"/>
      <c r="M3" s="77"/>
      <c r="N3" s="47" t="str">
        <f t="shared" ref="N3:N10" si="0">C3</f>
        <v>Nombre</v>
      </c>
      <c r="O3" s="269" t="str">
        <f>IF(D3="", "", D3)</f>
        <v/>
      </c>
      <c r="P3" s="270"/>
      <c r="Q3" s="271"/>
      <c r="S3" s="78"/>
    </row>
    <row r="4" spans="2:21" ht="18" customHeight="1" thickBot="1" x14ac:dyDescent="0.25">
      <c r="C4" s="49" t="str">
        <f>'1'!C4</f>
        <v>Apellidos</v>
      </c>
      <c r="D4" s="260"/>
      <c r="E4" s="261"/>
      <c r="F4" s="262"/>
      <c r="M4" s="77"/>
      <c r="N4" s="49" t="str">
        <f t="shared" si="0"/>
        <v>Apellidos</v>
      </c>
      <c r="O4" s="266" t="str">
        <f t="shared" ref="O4:O10" si="1">IF(D4="", "", D4)</f>
        <v/>
      </c>
      <c r="P4" s="267"/>
      <c r="Q4" s="268"/>
      <c r="S4" s="78"/>
    </row>
    <row r="5" spans="2:21" ht="18" customHeight="1" thickBot="1" x14ac:dyDescent="0.25">
      <c r="C5" s="70" t="str">
        <f>'1'!C5</f>
        <v>País</v>
      </c>
      <c r="D5" s="249"/>
      <c r="E5" s="250"/>
      <c r="F5" s="251"/>
      <c r="M5" s="77"/>
      <c r="N5" s="70" t="str">
        <f t="shared" si="0"/>
        <v>País</v>
      </c>
      <c r="O5" s="281" t="str">
        <f t="shared" si="1"/>
        <v/>
      </c>
      <c r="P5" s="282"/>
      <c r="Q5" s="283"/>
      <c r="S5" s="78"/>
    </row>
    <row r="6" spans="2:21" ht="18" customHeight="1" x14ac:dyDescent="0.2">
      <c r="C6" s="47" t="str">
        <f>'1'!C6</f>
        <v>Raza (asiático=1; afro-americano=2; caucásico=3)</v>
      </c>
      <c r="D6" s="263"/>
      <c r="E6" s="264"/>
      <c r="F6" s="265"/>
      <c r="M6" s="77"/>
      <c r="N6" s="47" t="str">
        <f t="shared" si="0"/>
        <v>Raza (asiático=1; afro-americano=2; caucásico=3)</v>
      </c>
      <c r="O6" s="278" t="str">
        <f t="shared" si="1"/>
        <v/>
      </c>
      <c r="P6" s="279"/>
      <c r="Q6" s="280"/>
      <c r="S6" s="78"/>
    </row>
    <row r="7" spans="2:21" ht="18" customHeight="1" thickBot="1" x14ac:dyDescent="0.25">
      <c r="C7" s="49" t="str">
        <f>'1'!C7</f>
        <v>Sexo (hombre=1, mujer=2)</v>
      </c>
      <c r="D7" s="260"/>
      <c r="E7" s="261"/>
      <c r="F7" s="262"/>
      <c r="M7" s="77"/>
      <c r="N7" s="49" t="str">
        <f t="shared" si="0"/>
        <v>Sexo (hombre=1, mujer=2)</v>
      </c>
      <c r="O7" s="266" t="str">
        <f t="shared" si="1"/>
        <v/>
      </c>
      <c r="P7" s="267"/>
      <c r="Q7" s="268"/>
      <c r="S7" s="78"/>
    </row>
    <row r="8" spans="2:21" ht="18" customHeight="1" thickBot="1" x14ac:dyDescent="0.25">
      <c r="C8" s="70" t="str">
        <f>'1'!C8</f>
        <v>Deporte</v>
      </c>
      <c r="D8" s="249"/>
      <c r="E8" s="250"/>
      <c r="F8" s="251"/>
      <c r="M8" s="77"/>
      <c r="N8" s="70" t="str">
        <f t="shared" si="0"/>
        <v>Deporte</v>
      </c>
      <c r="O8" s="281" t="str">
        <f t="shared" si="1"/>
        <v/>
      </c>
      <c r="P8" s="282"/>
      <c r="Q8" s="283"/>
      <c r="S8" s="78"/>
    </row>
    <row r="9" spans="2:21" ht="18" customHeight="1" x14ac:dyDescent="0.2">
      <c r="C9" s="47" t="str">
        <f>'1'!C9</f>
        <v>Fecha de la Valoración</v>
      </c>
      <c r="D9" s="246"/>
      <c r="E9" s="247"/>
      <c r="F9" s="248"/>
      <c r="M9" s="77"/>
      <c r="N9" s="47" t="str">
        <f t="shared" si="0"/>
        <v>Fecha de la Valoración</v>
      </c>
      <c r="O9" s="290" t="str">
        <f t="shared" si="1"/>
        <v/>
      </c>
      <c r="P9" s="291"/>
      <c r="Q9" s="292"/>
      <c r="S9" s="78"/>
    </row>
    <row r="10" spans="2:21" ht="18" customHeight="1" thickBot="1" x14ac:dyDescent="0.25">
      <c r="C10" s="49" t="str">
        <f>'1'!C10</f>
        <v>Fecha de Nacimiento</v>
      </c>
      <c r="D10" s="243"/>
      <c r="E10" s="244"/>
      <c r="F10" s="245"/>
      <c r="K10" s="15"/>
      <c r="M10" s="77"/>
      <c r="N10" s="49" t="str">
        <f t="shared" si="0"/>
        <v>Fecha de Nacimiento</v>
      </c>
      <c r="O10" s="287" t="str">
        <f t="shared" si="1"/>
        <v/>
      </c>
      <c r="P10" s="288"/>
      <c r="Q10" s="289"/>
      <c r="S10" s="78"/>
    </row>
    <row r="11" spans="2:21" ht="18" customHeight="1" thickBot="1" x14ac:dyDescent="0.25">
      <c r="C11" s="54"/>
      <c r="M11" s="77"/>
      <c r="N11" s="80"/>
      <c r="O11" s="81"/>
      <c r="P11" s="80"/>
      <c r="Q11" s="80"/>
      <c r="S11" s="78"/>
    </row>
    <row r="12" spans="2:21" ht="18" customHeight="1" thickBot="1" x14ac:dyDescent="0.25">
      <c r="D12" s="73"/>
      <c r="E12" s="73"/>
      <c r="F12" s="73"/>
      <c r="K12" s="254" t="str">
        <f>'1'!K12</f>
        <v>Media o Mediana</v>
      </c>
      <c r="M12" s="77"/>
      <c r="Q12" s="252" t="str">
        <f>'1'!Q12</f>
        <v>Valor Z del Phantom</v>
      </c>
      <c r="R12" s="253"/>
      <c r="S12" s="78"/>
    </row>
    <row r="13" spans="2:21" ht="18" customHeight="1" thickBot="1" x14ac:dyDescent="0.25">
      <c r="C13" s="72" t="str">
        <f>'1'!C13</f>
        <v>Medida</v>
      </c>
      <c r="D13" s="118">
        <v>1</v>
      </c>
      <c r="E13" s="74">
        <v>2</v>
      </c>
      <c r="F13" s="119">
        <v>3</v>
      </c>
      <c r="H13" s="252" t="str">
        <f>'1'!H13</f>
        <v>¿3ª medida?</v>
      </c>
      <c r="I13" s="253"/>
      <c r="K13" s="255"/>
      <c r="M13" s="77"/>
      <c r="N13" s="72" t="str">
        <f>'1'!N13</f>
        <v>Medida</v>
      </c>
      <c r="O13" s="118" t="str">
        <f>'1'!O13</f>
        <v>Dato</v>
      </c>
      <c r="P13" s="119" t="str">
        <f>'1'!P13</f>
        <v>Unidad</v>
      </c>
      <c r="Q13" s="98"/>
      <c r="R13" s="99"/>
      <c r="S13" s="78"/>
    </row>
    <row r="14" spans="2:21" ht="18" customHeight="1" x14ac:dyDescent="0.2">
      <c r="B14" s="37">
        <f>'1'!B14</f>
        <v>1</v>
      </c>
      <c r="C14" s="38" t="str">
        <f>'1'!C14</f>
        <v>Masa Corporal ®</v>
      </c>
      <c r="D14" s="56"/>
      <c r="E14" s="57"/>
      <c r="F14" s="58"/>
      <c r="H14" s="65" t="str">
        <f>IFERROR((E14-D14)/(AVERAGE(D14:E14)), "-")</f>
        <v>-</v>
      </c>
      <c r="I14" s="168" t="str">
        <f>IFERROR(IF(ABS(H14)&gt;1%, "Yes", "No"), "-")</f>
        <v>-</v>
      </c>
      <c r="K14" s="29" t="str">
        <f>IFERROR(MEDIAN(D14, E14, F14), "-")</f>
        <v>-</v>
      </c>
      <c r="M14" s="77"/>
      <c r="N14" s="95" t="str">
        <f t="shared" ref="N14:N34" si="2">C14</f>
        <v>Masa Corporal ®</v>
      </c>
      <c r="O14" s="96" t="str">
        <f t="shared" ref="O14:O34" si="3">IFERROR(K14, "-")</f>
        <v>-</v>
      </c>
      <c r="P14" s="97" t="s">
        <v>25</v>
      </c>
      <c r="Q14" s="85" t="e">
        <f>1/8.6*(+O14*((170.18/O$15)^3)-64.58)</f>
        <v>#VALUE!</v>
      </c>
      <c r="R14" s="86"/>
      <c r="S14" s="78"/>
    </row>
    <row r="15" spans="2:21" ht="18" customHeight="1" x14ac:dyDescent="0.2">
      <c r="B15" s="41">
        <f>'1'!B15</f>
        <v>2</v>
      </c>
      <c r="C15" s="42" t="str">
        <f>'1'!C15</f>
        <v>Talla ®</v>
      </c>
      <c r="D15" s="59"/>
      <c r="E15" s="60"/>
      <c r="F15" s="61"/>
      <c r="H15" s="66" t="str">
        <f t="shared" ref="H15:H34" si="4">IFERROR((E15-D15)/(AVERAGE(D15:E15)), "-")</f>
        <v>-</v>
      </c>
      <c r="I15" s="67" t="str">
        <f t="shared" ref="I15:I17" si="5">IFERROR(IF(ABS(H15)&gt;1%, "Yes", "No"), "-")</f>
        <v>-</v>
      </c>
      <c r="K15" s="69" t="str">
        <f t="shared" ref="K15:K34" si="6">IFERROR(MEDIAN(D15, E15, F15), "-")</f>
        <v>-</v>
      </c>
      <c r="M15" s="77"/>
      <c r="N15" s="93" t="str">
        <f t="shared" si="2"/>
        <v>Talla ®</v>
      </c>
      <c r="O15" s="26" t="str">
        <f t="shared" si="3"/>
        <v>-</v>
      </c>
      <c r="P15" s="83" t="s">
        <v>26</v>
      </c>
      <c r="Q15" s="87" t="s">
        <v>44</v>
      </c>
      <c r="R15" s="88"/>
      <c r="S15" s="78"/>
    </row>
    <row r="16" spans="2:21" ht="18" customHeight="1" x14ac:dyDescent="0.2">
      <c r="B16" s="41">
        <f>'1'!B16</f>
        <v>3</v>
      </c>
      <c r="C16" s="42" t="str">
        <f>'1'!C16</f>
        <v>Talla Sentado ®</v>
      </c>
      <c r="D16" s="59"/>
      <c r="E16" s="60"/>
      <c r="F16" s="61"/>
      <c r="H16" s="66" t="str">
        <f t="shared" si="4"/>
        <v>-</v>
      </c>
      <c r="I16" s="67" t="str">
        <f t="shared" si="5"/>
        <v>-</v>
      </c>
      <c r="K16" s="69" t="str">
        <f t="shared" si="6"/>
        <v>-</v>
      </c>
      <c r="M16" s="77"/>
      <c r="N16" s="93" t="str">
        <f t="shared" si="2"/>
        <v>Talla Sentado ®</v>
      </c>
      <c r="O16" s="26" t="str">
        <f t="shared" si="3"/>
        <v>-</v>
      </c>
      <c r="P16" s="83" t="s">
        <v>26</v>
      </c>
      <c r="Q16" s="87" t="e">
        <f>1/4.5*(+O16*((170.18/O$15)^1)-89.92)</f>
        <v>#VALUE!</v>
      </c>
      <c r="R16" s="88"/>
      <c r="S16" s="78"/>
    </row>
    <row r="17" spans="2:19" ht="18" customHeight="1" thickBot="1" x14ac:dyDescent="0.25">
      <c r="B17" s="44">
        <f>'1'!B17</f>
        <v>4</v>
      </c>
      <c r="C17" s="45" t="str">
        <f>'1'!C17</f>
        <v>Envergadura de Brazos ®</v>
      </c>
      <c r="D17" s="62"/>
      <c r="E17" s="63"/>
      <c r="F17" s="64"/>
      <c r="H17" s="68" t="str">
        <f t="shared" si="4"/>
        <v>-</v>
      </c>
      <c r="I17" s="36" t="str">
        <f t="shared" si="5"/>
        <v>-</v>
      </c>
      <c r="K17" s="33" t="str">
        <f t="shared" si="6"/>
        <v>-</v>
      </c>
      <c r="M17" s="77"/>
      <c r="N17" s="94" t="str">
        <f t="shared" si="2"/>
        <v>Envergadura de Brazos ®</v>
      </c>
      <c r="O17" s="28" t="str">
        <f t="shared" si="3"/>
        <v>-</v>
      </c>
      <c r="P17" s="84" t="s">
        <v>26</v>
      </c>
      <c r="Q17" s="89" t="e">
        <f>1/7.41*(+O17*((170.18/O$15)^1)-172.35)</f>
        <v>#VALUE!</v>
      </c>
      <c r="R17" s="90"/>
      <c r="S17" s="78"/>
    </row>
    <row r="18" spans="2:19" ht="18" customHeight="1" x14ac:dyDescent="0.2">
      <c r="B18" s="37">
        <f>'1'!B18</f>
        <v>5</v>
      </c>
      <c r="C18" s="38" t="str">
        <f>'1'!C18</f>
        <v>PL Tríceps ®</v>
      </c>
      <c r="D18" s="56"/>
      <c r="E18" s="57"/>
      <c r="F18" s="58"/>
      <c r="H18" s="65" t="str">
        <f t="shared" si="4"/>
        <v>-</v>
      </c>
      <c r="I18" s="168" t="str">
        <f>IFERROR(IF(ABS(H18)&gt;5%, "Yes", "No"), "-")</f>
        <v>-</v>
      </c>
      <c r="K18" s="29" t="str">
        <f t="shared" si="6"/>
        <v>-</v>
      </c>
      <c r="M18" s="77"/>
      <c r="N18" s="92" t="str">
        <f t="shared" si="2"/>
        <v>PL Tríceps ®</v>
      </c>
      <c r="O18" s="25" t="str">
        <f t="shared" si="3"/>
        <v>-</v>
      </c>
      <c r="P18" s="82" t="s">
        <v>27</v>
      </c>
      <c r="Q18" s="85" t="e">
        <f>1/4.47*(+O18*((170.18/O$15)^1)-15.4)</f>
        <v>#VALUE!</v>
      </c>
      <c r="R18" s="91"/>
      <c r="S18" s="78"/>
    </row>
    <row r="19" spans="2:19" ht="18" customHeight="1" x14ac:dyDescent="0.2">
      <c r="B19" s="41">
        <f>'1'!B19</f>
        <v>6</v>
      </c>
      <c r="C19" s="42" t="str">
        <f>'1'!C19</f>
        <v>PL Subescapular ®</v>
      </c>
      <c r="D19" s="59"/>
      <c r="E19" s="60"/>
      <c r="F19" s="61"/>
      <c r="H19" s="66" t="str">
        <f t="shared" si="4"/>
        <v>-</v>
      </c>
      <c r="I19" s="67" t="str">
        <f t="shared" ref="I19:I25" si="7">IFERROR(IF(ABS(H19)&gt;5%, "Yes", "No"), "-")</f>
        <v>-</v>
      </c>
      <c r="K19" s="69" t="str">
        <f t="shared" si="6"/>
        <v>-</v>
      </c>
      <c r="M19" s="77"/>
      <c r="N19" s="93" t="str">
        <f t="shared" si="2"/>
        <v>PL Subescapular ®</v>
      </c>
      <c r="O19" s="26" t="str">
        <f t="shared" si="3"/>
        <v>-</v>
      </c>
      <c r="P19" s="83" t="s">
        <v>27</v>
      </c>
      <c r="Q19" s="87" t="e">
        <f>1/5.07*(+O19*((170.18/O$15)^1)-17.2)</f>
        <v>#VALUE!</v>
      </c>
      <c r="R19" s="88"/>
      <c r="S19" s="78"/>
    </row>
    <row r="20" spans="2:19" ht="18" customHeight="1" x14ac:dyDescent="0.2">
      <c r="B20" s="41">
        <f>'1'!B20</f>
        <v>7</v>
      </c>
      <c r="C20" s="42" t="str">
        <f>'1'!C20</f>
        <v>PL Bíceps ®</v>
      </c>
      <c r="D20" s="59"/>
      <c r="E20" s="60"/>
      <c r="F20" s="61"/>
      <c r="H20" s="66" t="str">
        <f t="shared" si="4"/>
        <v>-</v>
      </c>
      <c r="I20" s="67" t="str">
        <f t="shared" si="7"/>
        <v>-</v>
      </c>
      <c r="K20" s="69" t="str">
        <f t="shared" si="6"/>
        <v>-</v>
      </c>
      <c r="M20" s="77"/>
      <c r="N20" s="93" t="str">
        <f t="shared" si="2"/>
        <v>PL Bíceps ®</v>
      </c>
      <c r="O20" s="26" t="str">
        <f t="shared" si="3"/>
        <v>-</v>
      </c>
      <c r="P20" s="83" t="s">
        <v>27</v>
      </c>
      <c r="Q20" s="87" t="e">
        <f>1/2*(+O20*((170.18/O$15)^1)-8)</f>
        <v>#VALUE!</v>
      </c>
      <c r="R20" s="88"/>
      <c r="S20" s="78"/>
    </row>
    <row r="21" spans="2:19" ht="18" customHeight="1" x14ac:dyDescent="0.2">
      <c r="B21" s="41">
        <f>'1'!B21</f>
        <v>8</v>
      </c>
      <c r="C21" s="42" t="str">
        <f>'1'!C21</f>
        <v>PL Cresta Ilíaca ®</v>
      </c>
      <c r="D21" s="59"/>
      <c r="E21" s="60"/>
      <c r="F21" s="61"/>
      <c r="H21" s="66" t="str">
        <f t="shared" si="4"/>
        <v>-</v>
      </c>
      <c r="I21" s="67" t="str">
        <f t="shared" si="7"/>
        <v>-</v>
      </c>
      <c r="K21" s="69" t="str">
        <f t="shared" si="6"/>
        <v>-</v>
      </c>
      <c r="M21" s="77"/>
      <c r="N21" s="93" t="str">
        <f t="shared" si="2"/>
        <v>PL Cresta Ilíaca ®</v>
      </c>
      <c r="O21" s="26" t="str">
        <f t="shared" si="3"/>
        <v>-</v>
      </c>
      <c r="P21" s="83" t="s">
        <v>48</v>
      </c>
      <c r="Q21" s="87" t="e">
        <f>1/6.8*(+O21*((170.18/O$15)^1)-22.4)</f>
        <v>#VALUE!</v>
      </c>
      <c r="R21" s="88"/>
      <c r="S21" s="78"/>
    </row>
    <row r="22" spans="2:19" ht="18" customHeight="1" x14ac:dyDescent="0.2">
      <c r="B22" s="41">
        <f>'1'!B22</f>
        <v>9</v>
      </c>
      <c r="C22" s="42" t="str">
        <f>'1'!C22</f>
        <v>PL Supraespinal ®</v>
      </c>
      <c r="D22" s="59"/>
      <c r="E22" s="60"/>
      <c r="F22" s="61"/>
      <c r="H22" s="66" t="str">
        <f t="shared" si="4"/>
        <v>-</v>
      </c>
      <c r="I22" s="67" t="str">
        <f t="shared" si="7"/>
        <v>-</v>
      </c>
      <c r="K22" s="69" t="str">
        <f t="shared" si="6"/>
        <v>-</v>
      </c>
      <c r="M22" s="77"/>
      <c r="N22" s="93" t="str">
        <f t="shared" si="2"/>
        <v>PL Supraespinal ®</v>
      </c>
      <c r="O22" s="26" t="str">
        <f t="shared" si="3"/>
        <v>-</v>
      </c>
      <c r="P22" s="83" t="s">
        <v>27</v>
      </c>
      <c r="Q22" s="87" t="e">
        <f>1/4.47*(+O22*((170.18/O$15)^1)-15.4)</f>
        <v>#VALUE!</v>
      </c>
      <c r="R22" s="88"/>
      <c r="S22" s="78"/>
    </row>
    <row r="23" spans="2:19" ht="18" customHeight="1" x14ac:dyDescent="0.2">
      <c r="B23" s="41">
        <f>'1'!B23</f>
        <v>10</v>
      </c>
      <c r="C23" s="42" t="str">
        <f>'1'!C23</f>
        <v>PL Abdominal ®</v>
      </c>
      <c r="D23" s="59"/>
      <c r="E23" s="60"/>
      <c r="F23" s="61"/>
      <c r="H23" s="66" t="str">
        <f t="shared" si="4"/>
        <v>-</v>
      </c>
      <c r="I23" s="67" t="str">
        <f t="shared" si="7"/>
        <v>-</v>
      </c>
      <c r="K23" s="69" t="str">
        <f t="shared" si="6"/>
        <v>-</v>
      </c>
      <c r="M23" s="77"/>
      <c r="N23" s="93" t="str">
        <f t="shared" si="2"/>
        <v>PL Abdominal ®</v>
      </c>
      <c r="O23" s="26" t="str">
        <f t="shared" si="3"/>
        <v>-</v>
      </c>
      <c r="P23" s="83" t="s">
        <v>27</v>
      </c>
      <c r="Q23" s="87" t="e">
        <f>1/7.78*(+O23*((170.18/O$15)^1)-25.4)</f>
        <v>#VALUE!</v>
      </c>
      <c r="R23" s="88"/>
      <c r="S23" s="78"/>
    </row>
    <row r="24" spans="2:19" ht="18" customHeight="1" x14ac:dyDescent="0.2">
      <c r="B24" s="41">
        <f>'1'!B24</f>
        <v>11</v>
      </c>
      <c r="C24" s="42" t="str">
        <f>'1'!C24</f>
        <v>PL Muslo ®</v>
      </c>
      <c r="D24" s="59"/>
      <c r="E24" s="60"/>
      <c r="F24" s="61"/>
      <c r="H24" s="66" t="str">
        <f t="shared" si="4"/>
        <v>-</v>
      </c>
      <c r="I24" s="67" t="str">
        <f t="shared" si="7"/>
        <v>-</v>
      </c>
      <c r="K24" s="69" t="str">
        <f t="shared" si="6"/>
        <v>-</v>
      </c>
      <c r="M24" s="77"/>
      <c r="N24" s="93" t="str">
        <f t="shared" si="2"/>
        <v>PL Muslo ®</v>
      </c>
      <c r="O24" s="26" t="str">
        <f t="shared" si="3"/>
        <v>-</v>
      </c>
      <c r="P24" s="83" t="s">
        <v>27</v>
      </c>
      <c r="Q24" s="87" t="e">
        <f>1/8.33*(+O24*((170.18/O$15)^1)-27)</f>
        <v>#VALUE!</v>
      </c>
      <c r="R24" s="88"/>
      <c r="S24" s="78"/>
    </row>
    <row r="25" spans="2:19" ht="18" customHeight="1" thickBot="1" x14ac:dyDescent="0.25">
      <c r="B25" s="184">
        <f>'1'!B25</f>
        <v>12</v>
      </c>
      <c r="C25" s="185" t="str">
        <f>'1'!C25</f>
        <v>PL Pierna ®</v>
      </c>
      <c r="D25" s="186"/>
      <c r="E25" s="187"/>
      <c r="F25" s="188"/>
      <c r="H25" s="189" t="str">
        <f t="shared" si="4"/>
        <v>-</v>
      </c>
      <c r="I25" s="190" t="str">
        <f t="shared" si="7"/>
        <v>-</v>
      </c>
      <c r="K25" s="191" t="str">
        <f t="shared" si="6"/>
        <v>-</v>
      </c>
      <c r="M25" s="77"/>
      <c r="N25" s="94" t="str">
        <f t="shared" si="2"/>
        <v>PL Pierna ®</v>
      </c>
      <c r="O25" s="28" t="str">
        <f t="shared" si="3"/>
        <v>-</v>
      </c>
      <c r="P25" s="84" t="s">
        <v>27</v>
      </c>
      <c r="Q25" s="89" t="e">
        <f>1/4.67*(+O25*((170.18/O$15)^1)-16)</f>
        <v>#VALUE!</v>
      </c>
      <c r="R25" s="90"/>
      <c r="S25" s="78"/>
    </row>
    <row r="26" spans="2:19" ht="18" customHeight="1" x14ac:dyDescent="0.2">
      <c r="B26" s="37">
        <f>'1'!B26</f>
        <v>13</v>
      </c>
      <c r="C26" s="38" t="str">
        <f>'1'!C26</f>
        <v>PR Brazo Relajado ®</v>
      </c>
      <c r="D26" s="56"/>
      <c r="E26" s="57"/>
      <c r="F26" s="58"/>
      <c r="H26" s="65" t="str">
        <f t="shared" si="4"/>
        <v>-</v>
      </c>
      <c r="I26" s="168" t="str">
        <f t="shared" ref="I26:I34" si="8">IFERROR(IF(ABS(H26)&gt;1%, "Yes", "No"), "-")</f>
        <v>-</v>
      </c>
      <c r="K26" s="29" t="str">
        <f t="shared" si="6"/>
        <v>-</v>
      </c>
      <c r="M26" s="77"/>
      <c r="N26" s="93" t="str">
        <f t="shared" si="2"/>
        <v>PR Brazo Relajado ®</v>
      </c>
      <c r="O26" s="26" t="str">
        <f t="shared" si="3"/>
        <v>-</v>
      </c>
      <c r="P26" s="83" t="s">
        <v>26</v>
      </c>
      <c r="Q26" s="87" t="e">
        <f>1/2.33*(+O26*((170.18/O$15)^1)-26.89)</f>
        <v>#VALUE!</v>
      </c>
      <c r="R26" s="88"/>
      <c r="S26" s="78"/>
    </row>
    <row r="27" spans="2:19" ht="18" customHeight="1" x14ac:dyDescent="0.2">
      <c r="B27" s="41">
        <f>'1'!B27</f>
        <v>14</v>
      </c>
      <c r="C27" s="42" t="str">
        <f>'1'!C27</f>
        <v>PR Brazo Flexionado y Contraído ®</v>
      </c>
      <c r="D27" s="59"/>
      <c r="E27" s="60"/>
      <c r="F27" s="61"/>
      <c r="H27" s="66" t="str">
        <f t="shared" si="4"/>
        <v>-</v>
      </c>
      <c r="I27" s="67" t="str">
        <f t="shared" si="8"/>
        <v>-</v>
      </c>
      <c r="K27" s="69" t="str">
        <f t="shared" si="6"/>
        <v>-</v>
      </c>
      <c r="M27" s="77"/>
      <c r="N27" s="93" t="str">
        <f t="shared" si="2"/>
        <v>PR Brazo Flexionado y Contraído ®</v>
      </c>
      <c r="O27" s="26" t="str">
        <f t="shared" si="3"/>
        <v>-</v>
      </c>
      <c r="P27" s="83" t="s">
        <v>26</v>
      </c>
      <c r="Q27" s="87" t="e">
        <f>1/2.37*(+O27*((170.18/O$15)^1)-29.41)</f>
        <v>#VALUE!</v>
      </c>
      <c r="R27" s="88"/>
      <c r="S27" s="78"/>
    </row>
    <row r="28" spans="2:19" ht="18" customHeight="1" x14ac:dyDescent="0.2">
      <c r="B28" s="41">
        <f>'1'!B28</f>
        <v>15</v>
      </c>
      <c r="C28" s="42" t="str">
        <f>'1'!C28</f>
        <v>PR Cintura ®</v>
      </c>
      <c r="D28" s="59"/>
      <c r="E28" s="60"/>
      <c r="F28" s="61"/>
      <c r="H28" s="66" t="str">
        <f t="shared" si="4"/>
        <v>-</v>
      </c>
      <c r="I28" s="67" t="str">
        <f t="shared" si="8"/>
        <v>-</v>
      </c>
      <c r="K28" s="69" t="str">
        <f t="shared" si="6"/>
        <v>-</v>
      </c>
      <c r="M28" s="77"/>
      <c r="N28" s="93" t="str">
        <f t="shared" si="2"/>
        <v>PR Cintura ®</v>
      </c>
      <c r="O28" s="26" t="str">
        <f t="shared" si="3"/>
        <v>-</v>
      </c>
      <c r="P28" s="83" t="s">
        <v>26</v>
      </c>
      <c r="Q28" s="87" t="e">
        <f>1/4.45*(+O28*((170.18/O$15)^1)-71.91)</f>
        <v>#VALUE!</v>
      </c>
      <c r="R28" s="88"/>
      <c r="S28" s="78"/>
    </row>
    <row r="29" spans="2:19" ht="18" customHeight="1" x14ac:dyDescent="0.2">
      <c r="B29" s="41">
        <f>'1'!B29</f>
        <v>16</v>
      </c>
      <c r="C29" s="42" t="str">
        <f>'1'!C29</f>
        <v>PR Caderas ®</v>
      </c>
      <c r="D29" s="59"/>
      <c r="E29" s="60"/>
      <c r="F29" s="61"/>
      <c r="H29" s="66" t="str">
        <f t="shared" si="4"/>
        <v>-</v>
      </c>
      <c r="I29" s="67" t="str">
        <f t="shared" si="8"/>
        <v>-</v>
      </c>
      <c r="K29" s="69" t="str">
        <f t="shared" si="6"/>
        <v>-</v>
      </c>
      <c r="M29" s="77"/>
      <c r="N29" s="93" t="str">
        <f t="shared" si="2"/>
        <v>PR Caderas ®</v>
      </c>
      <c r="O29" s="26" t="str">
        <f t="shared" si="3"/>
        <v>-</v>
      </c>
      <c r="P29" s="83" t="s">
        <v>26</v>
      </c>
      <c r="Q29" s="87" t="e">
        <f>1/5.58*(+O29*((170.18/O$15)^1)-94.67)</f>
        <v>#VALUE!</v>
      </c>
      <c r="R29" s="88"/>
      <c r="S29" s="78"/>
    </row>
    <row r="30" spans="2:19" ht="18" customHeight="1" x14ac:dyDescent="0.2">
      <c r="B30" s="41">
        <f>'1'!B30</f>
        <v>17</v>
      </c>
      <c r="C30" s="42" t="str">
        <f>'1'!C30</f>
        <v>PR Muslo Medio ®</v>
      </c>
      <c r="D30" s="59"/>
      <c r="E30" s="60"/>
      <c r="F30" s="61"/>
      <c r="H30" s="66" t="str">
        <f t="shared" si="4"/>
        <v>-</v>
      </c>
      <c r="I30" s="67" t="str">
        <f t="shared" si="8"/>
        <v>-</v>
      </c>
      <c r="K30" s="69" t="str">
        <f t="shared" si="6"/>
        <v>-</v>
      </c>
      <c r="M30" s="77"/>
      <c r="N30" s="93" t="str">
        <f t="shared" si="2"/>
        <v>PR Muslo Medio ®</v>
      </c>
      <c r="O30" s="26" t="str">
        <f t="shared" si="3"/>
        <v>-</v>
      </c>
      <c r="P30" s="83" t="s">
        <v>26</v>
      </c>
      <c r="Q30" s="87" t="e">
        <f>1/4.56*(+O30*((170.18/O$15)^1)-53.2)</f>
        <v>#VALUE!</v>
      </c>
      <c r="R30" s="88"/>
      <c r="S30" s="78"/>
    </row>
    <row r="31" spans="2:19" ht="18" customHeight="1" thickBot="1" x14ac:dyDescent="0.25">
      <c r="B31" s="44">
        <f>'1'!B31</f>
        <v>18</v>
      </c>
      <c r="C31" s="45" t="str">
        <f>'1'!C31</f>
        <v>PR Pierna ®</v>
      </c>
      <c r="D31" s="62"/>
      <c r="E31" s="63"/>
      <c r="F31" s="64"/>
      <c r="H31" s="68" t="str">
        <f t="shared" si="4"/>
        <v>-</v>
      </c>
      <c r="I31" s="36" t="str">
        <f t="shared" si="8"/>
        <v>-</v>
      </c>
      <c r="K31" s="33" t="str">
        <f t="shared" si="6"/>
        <v>-</v>
      </c>
      <c r="M31" s="77"/>
      <c r="N31" s="192" t="str">
        <f t="shared" si="2"/>
        <v>PR Pierna ®</v>
      </c>
      <c r="O31" s="193" t="str">
        <f t="shared" si="3"/>
        <v>-</v>
      </c>
      <c r="P31" s="194" t="s">
        <v>26</v>
      </c>
      <c r="Q31" s="195" t="e">
        <f>1/2.3*(+O31*((170.18/O$15)^1)-35.25)</f>
        <v>#VALUE!</v>
      </c>
      <c r="R31" s="196"/>
      <c r="S31" s="78"/>
    </row>
    <row r="32" spans="2:19" ht="18" customHeight="1" x14ac:dyDescent="0.2">
      <c r="B32" s="37">
        <f>'1'!B32</f>
        <v>19</v>
      </c>
      <c r="C32" s="38" t="str">
        <f>'1'!C32</f>
        <v>D Húmero ®</v>
      </c>
      <c r="D32" s="56"/>
      <c r="E32" s="57"/>
      <c r="F32" s="58"/>
      <c r="H32" s="65" t="str">
        <f t="shared" si="4"/>
        <v>-</v>
      </c>
      <c r="I32" s="168" t="str">
        <f t="shared" si="8"/>
        <v>-</v>
      </c>
      <c r="K32" s="29" t="str">
        <f t="shared" si="6"/>
        <v>-</v>
      </c>
      <c r="M32" s="77"/>
      <c r="N32" s="92" t="str">
        <f t="shared" si="2"/>
        <v>D Húmero ®</v>
      </c>
      <c r="O32" s="25" t="str">
        <f t="shared" si="3"/>
        <v>-</v>
      </c>
      <c r="P32" s="82" t="s">
        <v>26</v>
      </c>
      <c r="Q32" s="85" t="e">
        <f>1/0.35*(+O32*((170.18/O$15)^1)-6.48)</f>
        <v>#VALUE!</v>
      </c>
      <c r="R32" s="91"/>
      <c r="S32" s="78"/>
    </row>
    <row r="33" spans="2:19" ht="18" customHeight="1" x14ac:dyDescent="0.2">
      <c r="B33" s="41">
        <f>'1'!B33</f>
        <v>20</v>
      </c>
      <c r="C33" s="42" t="str">
        <f>'1'!C33</f>
        <v>D Biestiloideo ®</v>
      </c>
      <c r="D33" s="59"/>
      <c r="E33" s="60"/>
      <c r="F33" s="61"/>
      <c r="H33" s="66" t="str">
        <f t="shared" si="4"/>
        <v>-</v>
      </c>
      <c r="I33" s="67" t="str">
        <f t="shared" si="8"/>
        <v>-</v>
      </c>
      <c r="K33" s="69" t="str">
        <f t="shared" si="6"/>
        <v>-</v>
      </c>
      <c r="M33" s="77"/>
      <c r="N33" s="93" t="str">
        <f t="shared" si="2"/>
        <v>D Biestiloideo ®</v>
      </c>
      <c r="O33" s="26" t="str">
        <f t="shared" si="3"/>
        <v>-</v>
      </c>
      <c r="P33" s="83" t="s">
        <v>26</v>
      </c>
      <c r="Q33" s="87" t="e">
        <f>1/0.28*(+O33*((170.18/O$15)^1)-5.21)</f>
        <v>#VALUE!</v>
      </c>
      <c r="R33" s="88"/>
      <c r="S33" s="78"/>
    </row>
    <row r="34" spans="2:19" ht="18" customHeight="1" thickBot="1" x14ac:dyDescent="0.25">
      <c r="B34" s="44">
        <f>'1'!B34</f>
        <v>21</v>
      </c>
      <c r="C34" s="45" t="str">
        <f>'1'!C34</f>
        <v>D Fémur ®</v>
      </c>
      <c r="D34" s="62"/>
      <c r="E34" s="63"/>
      <c r="F34" s="64"/>
      <c r="H34" s="68" t="str">
        <f t="shared" si="4"/>
        <v>-</v>
      </c>
      <c r="I34" s="36" t="str">
        <f t="shared" si="8"/>
        <v>-</v>
      </c>
      <c r="K34" s="33" t="str">
        <f t="shared" si="6"/>
        <v>-</v>
      </c>
      <c r="M34" s="77"/>
      <c r="N34" s="94" t="str">
        <f t="shared" si="2"/>
        <v>D Fémur ®</v>
      </c>
      <c r="O34" s="28" t="str">
        <f t="shared" si="3"/>
        <v>-</v>
      </c>
      <c r="P34" s="84" t="s">
        <v>26</v>
      </c>
      <c r="Q34" s="89" t="e">
        <f>1/0.48*(+O34*((170.18/O$15)^1)-9.52)</f>
        <v>#VALUE!</v>
      </c>
      <c r="R34" s="90"/>
      <c r="S34" s="78"/>
    </row>
    <row r="35" spans="2:19" ht="18" customHeight="1" x14ac:dyDescent="0.2">
      <c r="D35" s="19"/>
      <c r="E35" s="19"/>
      <c r="F35" s="19"/>
      <c r="H35" s="71"/>
      <c r="K35" s="19"/>
      <c r="M35" s="77"/>
      <c r="N35" s="92" t="str">
        <f>IF(Info!J3, "Corrected Arm Girth", "PR Brazo Corregido")</f>
        <v>PR Brazo Corregido</v>
      </c>
      <c r="O35" s="25" t="str">
        <f>IFERROR(K26-PI()*(K18/10), "-")</f>
        <v>-</v>
      </c>
      <c r="P35" s="82" t="s">
        <v>26</v>
      </c>
      <c r="Q35" s="85" t="e">
        <f>1/1.91*(+O35*((170.18/O$15)^1)-22.05)</f>
        <v>#VALUE!</v>
      </c>
      <c r="R35" s="91"/>
      <c r="S35" s="78"/>
    </row>
    <row r="36" spans="2:19" ht="18" customHeight="1" x14ac:dyDescent="0.2">
      <c r="K36" s="19"/>
      <c r="M36" s="77"/>
      <c r="N36" s="93" t="str">
        <f>IF(Info!J3, "Corrected Thigh Girth", "PR Muslo Corregido")</f>
        <v>PR Muslo Corregido</v>
      </c>
      <c r="O36" s="26" t="str">
        <f>IFERROR(K30-PI()*(K24/10), "-")</f>
        <v>-</v>
      </c>
      <c r="P36" s="83" t="s">
        <v>26</v>
      </c>
      <c r="Q36" s="87" t="e">
        <f>1/3.59*(+O36*((170.18/O$15)^1)-47.34)</f>
        <v>#VALUE!</v>
      </c>
      <c r="R36" s="88"/>
      <c r="S36" s="78"/>
    </row>
    <row r="37" spans="2:19" ht="18" customHeight="1" thickBot="1" x14ac:dyDescent="0.25">
      <c r="B37" s="79"/>
      <c r="C37" s="108"/>
      <c r="D37" s="79" t="s">
        <v>29</v>
      </c>
      <c r="E37" s="79" t="s">
        <v>30</v>
      </c>
      <c r="F37" s="79" t="s">
        <v>31</v>
      </c>
      <c r="G37" s="79" t="str">
        <f>IF(Info!J3, "3rd measure taken?", "¿3ª medida tomada?")</f>
        <v>¿3ª medida tomada?</v>
      </c>
      <c r="H37" s="79" t="str">
        <f>IF(Info!J3, "3rd measure requested?", "¿3ª medida solicitada?")</f>
        <v>¿3ª medida solicitada?</v>
      </c>
      <c r="I37" s="79" t="str">
        <f>IF(Info!J3, "He/she has not done 1st measure", "No se ha realizado la 1ª medición")</f>
        <v>No se ha realizado la 1ª medición</v>
      </c>
      <c r="J37" s="79" t="str">
        <f>IF(Info!J3, "He/she has not done 2nd measure", "No se ha realizado la 2ª medición")</f>
        <v>No se ha realizado la 2ª medición</v>
      </c>
      <c r="K37" s="19"/>
      <c r="M37" s="77"/>
      <c r="N37" s="94" t="str">
        <f>IF(Info!J3, "Corrected Calf Girth", "PR Pierna Corregido")</f>
        <v>PR Pierna Corregido</v>
      </c>
      <c r="O37" s="28" t="str">
        <f>IFERROR(K31-PI()*(K25/10), "-")</f>
        <v>-</v>
      </c>
      <c r="P37" s="84" t="s">
        <v>26</v>
      </c>
      <c r="Q37" s="89" t="e">
        <f>1/1.97*(+O37*((170.18/O$15)^1)-30.22)</f>
        <v>#VALUE!</v>
      </c>
      <c r="R37" s="90"/>
      <c r="S37" s="78"/>
    </row>
    <row r="38" spans="2:19" ht="18" customHeight="1" thickBot="1" x14ac:dyDescent="0.25">
      <c r="B38" s="79">
        <f t="shared" ref="B38:C53" si="9">B14</f>
        <v>1</v>
      </c>
      <c r="C38" s="108" t="str">
        <f t="shared" si="9"/>
        <v>Masa Corporal ®</v>
      </c>
      <c r="D38" s="79">
        <f t="shared" ref="D38:D58" si="10">IF(D14=E14, 1, 0)</f>
        <v>1</v>
      </c>
      <c r="E38" s="79">
        <f t="shared" ref="E38:E58" si="11">IF(D14=F14, 1, 0)</f>
        <v>1</v>
      </c>
      <c r="F38" s="79">
        <f t="shared" ref="F38:F58" si="12">IF(E14=F14, 1, 0)</f>
        <v>1</v>
      </c>
      <c r="G38" s="79">
        <f t="shared" ref="G38:G58" si="13">IF(F14="", 0, 1)</f>
        <v>0</v>
      </c>
      <c r="H38" s="79">
        <f t="shared" ref="H38:H58" si="14">IF(I14="Yes", 1, 0)</f>
        <v>0</v>
      </c>
      <c r="I38" s="79">
        <f t="shared" ref="I38:J53" si="15">COUNTIF(D14, "")</f>
        <v>1</v>
      </c>
      <c r="J38" s="79">
        <f t="shared" si="15"/>
        <v>1</v>
      </c>
      <c r="K38" s="19"/>
      <c r="M38" s="77"/>
      <c r="S38" s="78"/>
    </row>
    <row r="39" spans="2:19" ht="18" customHeight="1" thickBot="1" x14ac:dyDescent="0.25">
      <c r="B39" s="79">
        <f t="shared" si="9"/>
        <v>2</v>
      </c>
      <c r="C39" s="108" t="str">
        <f t="shared" si="9"/>
        <v>Talla ®</v>
      </c>
      <c r="D39" s="79">
        <f t="shared" si="10"/>
        <v>1</v>
      </c>
      <c r="E39" s="79">
        <f t="shared" si="11"/>
        <v>1</v>
      </c>
      <c r="F39" s="79">
        <f t="shared" si="12"/>
        <v>1</v>
      </c>
      <c r="G39" s="79">
        <f t="shared" si="13"/>
        <v>0</v>
      </c>
      <c r="H39" s="79">
        <f t="shared" si="14"/>
        <v>0</v>
      </c>
      <c r="I39" s="79">
        <f t="shared" si="15"/>
        <v>1</v>
      </c>
      <c r="J39" s="79">
        <f t="shared" si="15"/>
        <v>1</v>
      </c>
      <c r="K39" s="19"/>
      <c r="M39" s="77"/>
      <c r="N39" s="284" t="str">
        <f>'1'!N39</f>
        <v>Somatotipo (Heath-Carter)</v>
      </c>
      <c r="O39" s="285"/>
      <c r="P39" s="286"/>
      <c r="Q39" s="52"/>
      <c r="R39" s="53"/>
      <c r="S39" s="78"/>
    </row>
    <row r="40" spans="2:19" ht="18" customHeight="1" x14ac:dyDescent="0.2">
      <c r="B40" s="79">
        <f t="shared" si="9"/>
        <v>3</v>
      </c>
      <c r="C40" s="108" t="str">
        <f t="shared" si="9"/>
        <v>Talla Sentado ®</v>
      </c>
      <c r="D40" s="79">
        <f t="shared" si="10"/>
        <v>1</v>
      </c>
      <c r="E40" s="79">
        <f t="shared" si="11"/>
        <v>1</v>
      </c>
      <c r="F40" s="79">
        <f t="shared" si="12"/>
        <v>1</v>
      </c>
      <c r="G40" s="79">
        <f t="shared" si="13"/>
        <v>0</v>
      </c>
      <c r="H40" s="79">
        <f t="shared" si="14"/>
        <v>0</v>
      </c>
      <c r="I40" s="79">
        <f t="shared" si="15"/>
        <v>1</v>
      </c>
      <c r="J40" s="79">
        <f t="shared" si="15"/>
        <v>1</v>
      </c>
      <c r="K40" s="19"/>
      <c r="M40" s="77"/>
      <c r="N40" s="100" t="str">
        <f>'1'!N40</f>
        <v>Endomorfia</v>
      </c>
      <c r="O40" s="276" t="str">
        <f>IFERROR(-0.7182+0.1451*((O18+O19+O22)*(170.18/O15))-0.00068*(((O18+O19+O22)*(170.18/O15))^2)+0.0000014*(((O18+O19+O22)*(170.18/O15))^3), "-")</f>
        <v>-</v>
      </c>
      <c r="P40" s="277"/>
      <c r="R40" s="19"/>
      <c r="S40" s="78"/>
    </row>
    <row r="41" spans="2:19" ht="18" customHeight="1" x14ac:dyDescent="0.2">
      <c r="B41" s="79">
        <f t="shared" si="9"/>
        <v>4</v>
      </c>
      <c r="C41" s="108" t="str">
        <f t="shared" si="9"/>
        <v>Envergadura de Brazos ®</v>
      </c>
      <c r="D41" s="79">
        <f t="shared" si="10"/>
        <v>1</v>
      </c>
      <c r="E41" s="79">
        <f t="shared" si="11"/>
        <v>1</v>
      </c>
      <c r="F41" s="79">
        <f t="shared" si="12"/>
        <v>1</v>
      </c>
      <c r="G41" s="79">
        <f t="shared" si="13"/>
        <v>0</v>
      </c>
      <c r="H41" s="79">
        <f t="shared" si="14"/>
        <v>0</v>
      </c>
      <c r="I41" s="79">
        <f t="shared" si="15"/>
        <v>1</v>
      </c>
      <c r="J41" s="79">
        <f t="shared" si="15"/>
        <v>1</v>
      </c>
      <c r="K41" s="19"/>
      <c r="M41" s="77"/>
      <c r="N41" s="101" t="str">
        <f>'1'!N41</f>
        <v>Mesomorfia</v>
      </c>
      <c r="O41" s="274" t="str">
        <f>IFERROR((0.858*O32)+(0.601*O34)+(0.188*(O27-(O18/10)))+(0.161*(O31-(O25/10)))-(0.131*O15)+4.5, "-")</f>
        <v>-</v>
      </c>
      <c r="P41" s="275"/>
      <c r="S41" s="78"/>
    </row>
    <row r="42" spans="2:19" ht="18" customHeight="1" thickBot="1" x14ac:dyDescent="0.25">
      <c r="B42" s="79">
        <f t="shared" si="9"/>
        <v>5</v>
      </c>
      <c r="C42" s="108" t="str">
        <f t="shared" si="9"/>
        <v>PL Tríceps ®</v>
      </c>
      <c r="D42" s="79">
        <f t="shared" si="10"/>
        <v>1</v>
      </c>
      <c r="E42" s="79">
        <f t="shared" si="11"/>
        <v>1</v>
      </c>
      <c r="F42" s="79">
        <f t="shared" si="12"/>
        <v>1</v>
      </c>
      <c r="G42" s="79">
        <f t="shared" si="13"/>
        <v>0</v>
      </c>
      <c r="H42" s="79">
        <f t="shared" si="14"/>
        <v>0</v>
      </c>
      <c r="I42" s="79">
        <f t="shared" si="15"/>
        <v>1</v>
      </c>
      <c r="J42" s="79">
        <f t="shared" si="15"/>
        <v>1</v>
      </c>
      <c r="K42" s="19"/>
      <c r="M42" s="77"/>
      <c r="N42" s="34" t="str">
        <f>'1'!N42</f>
        <v>Ectomorfia</v>
      </c>
      <c r="O42" s="272" t="str">
        <f>IFERROR(IF(O15/(O14^0.3333)&gt;40.75, ((0.732*O15/(O14^0.3333))-28.58), IF(O15/(O14^0.3333)&gt;38.28, ((0.463*O15/(O14^0.3333))-17.63), 0.1)), "-")</f>
        <v>-</v>
      </c>
      <c r="P42" s="273"/>
      <c r="R42" s="53"/>
      <c r="S42" s="78"/>
    </row>
    <row r="43" spans="2:19" ht="18" customHeight="1" x14ac:dyDescent="0.2">
      <c r="B43" s="79">
        <f t="shared" si="9"/>
        <v>6</v>
      </c>
      <c r="C43" s="108" t="str">
        <f t="shared" si="9"/>
        <v>PL Subescapular ®</v>
      </c>
      <c r="D43" s="79">
        <f t="shared" si="10"/>
        <v>1</v>
      </c>
      <c r="E43" s="79">
        <f t="shared" si="11"/>
        <v>1</v>
      </c>
      <c r="F43" s="79">
        <f t="shared" si="12"/>
        <v>1</v>
      </c>
      <c r="G43" s="79">
        <f t="shared" si="13"/>
        <v>0</v>
      </c>
      <c r="H43" s="79">
        <f t="shared" si="14"/>
        <v>0</v>
      </c>
      <c r="I43" s="79">
        <f t="shared" si="15"/>
        <v>1</v>
      </c>
      <c r="J43" s="79">
        <f t="shared" si="15"/>
        <v>1</v>
      </c>
      <c r="K43" s="19"/>
      <c r="M43" s="77"/>
      <c r="N43" s="100" t="str">
        <f>'1'!N43</f>
        <v>X</v>
      </c>
      <c r="O43" s="276" t="str">
        <f>IFERROR(O42-O40, "-")</f>
        <v>-</v>
      </c>
      <c r="P43" s="277"/>
      <c r="S43" s="78"/>
    </row>
    <row r="44" spans="2:19" ht="18" customHeight="1" thickBot="1" x14ac:dyDescent="0.25">
      <c r="B44" s="79">
        <f t="shared" si="9"/>
        <v>7</v>
      </c>
      <c r="C44" s="108" t="str">
        <f t="shared" si="9"/>
        <v>PL Bíceps ®</v>
      </c>
      <c r="D44" s="79">
        <f t="shared" si="10"/>
        <v>1</v>
      </c>
      <c r="E44" s="79">
        <f t="shared" si="11"/>
        <v>1</v>
      </c>
      <c r="F44" s="79">
        <f t="shared" si="12"/>
        <v>1</v>
      </c>
      <c r="G44" s="79">
        <f t="shared" si="13"/>
        <v>0</v>
      </c>
      <c r="H44" s="79">
        <f t="shared" si="14"/>
        <v>0</v>
      </c>
      <c r="I44" s="79">
        <f t="shared" si="15"/>
        <v>1</v>
      </c>
      <c r="J44" s="79">
        <f t="shared" si="15"/>
        <v>1</v>
      </c>
      <c r="K44" s="19"/>
      <c r="M44" s="77"/>
      <c r="N44" s="34" t="str">
        <f>'1'!N44</f>
        <v>Y</v>
      </c>
      <c r="O44" s="272" t="str">
        <f>IFERROR(2*O41-(O42+O40), "-")</f>
        <v>-</v>
      </c>
      <c r="P44" s="273"/>
      <c r="S44" s="78"/>
    </row>
    <row r="45" spans="2:19" ht="18" customHeight="1" thickBot="1" x14ac:dyDescent="0.25">
      <c r="B45" s="79">
        <f t="shared" si="9"/>
        <v>8</v>
      </c>
      <c r="C45" s="108" t="str">
        <f t="shared" si="9"/>
        <v>PL Cresta Ilíaca ®</v>
      </c>
      <c r="D45" s="79">
        <f t="shared" si="10"/>
        <v>1</v>
      </c>
      <c r="E45" s="79">
        <f t="shared" si="11"/>
        <v>1</v>
      </c>
      <c r="F45" s="79">
        <f t="shared" si="12"/>
        <v>1</v>
      </c>
      <c r="G45" s="79">
        <f t="shared" si="13"/>
        <v>0</v>
      </c>
      <c r="H45" s="79">
        <f t="shared" si="14"/>
        <v>0</v>
      </c>
      <c r="I45" s="79">
        <f t="shared" si="15"/>
        <v>1</v>
      </c>
      <c r="J45" s="79">
        <f t="shared" si="15"/>
        <v>1</v>
      </c>
      <c r="K45" s="19"/>
      <c r="M45" s="77"/>
      <c r="S45" s="78"/>
    </row>
    <row r="46" spans="2:19" ht="18" customHeight="1" thickBot="1" x14ac:dyDescent="0.25">
      <c r="B46" s="79">
        <f t="shared" si="9"/>
        <v>9</v>
      </c>
      <c r="C46" s="108" t="str">
        <f t="shared" si="9"/>
        <v>PL Supraespinal ®</v>
      </c>
      <c r="D46" s="79">
        <f t="shared" si="10"/>
        <v>1</v>
      </c>
      <c r="E46" s="79">
        <f t="shared" si="11"/>
        <v>1</v>
      </c>
      <c r="F46" s="79">
        <f t="shared" si="12"/>
        <v>1</v>
      </c>
      <c r="G46" s="79">
        <f t="shared" si="13"/>
        <v>0</v>
      </c>
      <c r="H46" s="79">
        <f t="shared" si="14"/>
        <v>0</v>
      </c>
      <c r="I46" s="79">
        <f t="shared" si="15"/>
        <v>1</v>
      </c>
      <c r="J46" s="79">
        <f t="shared" si="15"/>
        <v>1</v>
      </c>
      <c r="M46" s="77"/>
      <c r="N46" s="72" t="str">
        <f>'1'!N46</f>
        <v>Índice de Masa Corporal (IMC)</v>
      </c>
      <c r="O46" s="102" t="str">
        <f>IFERROR(O14/(O15/100)^2, "-")</f>
        <v>-</v>
      </c>
      <c r="P46" s="104" t="s">
        <v>34</v>
      </c>
      <c r="S46" s="78"/>
    </row>
    <row r="47" spans="2:19" ht="18" customHeight="1" thickBot="1" x14ac:dyDescent="0.25">
      <c r="B47" s="79">
        <f t="shared" si="9"/>
        <v>10</v>
      </c>
      <c r="C47" s="108" t="str">
        <f t="shared" si="9"/>
        <v>PL Abdominal ®</v>
      </c>
      <c r="D47" s="79">
        <f t="shared" si="10"/>
        <v>1</v>
      </c>
      <c r="E47" s="79">
        <f t="shared" si="11"/>
        <v>1</v>
      </c>
      <c r="F47" s="79">
        <f t="shared" si="12"/>
        <v>1</v>
      </c>
      <c r="G47" s="79">
        <f t="shared" si="13"/>
        <v>0</v>
      </c>
      <c r="H47" s="79">
        <f t="shared" si="14"/>
        <v>0</v>
      </c>
      <c r="I47" s="79">
        <f t="shared" si="15"/>
        <v>1</v>
      </c>
      <c r="J47" s="79">
        <f t="shared" si="15"/>
        <v>1</v>
      </c>
      <c r="M47" s="77"/>
      <c r="S47" s="78"/>
    </row>
    <row r="48" spans="2:19" ht="18" customHeight="1" thickBot="1" x14ac:dyDescent="0.25">
      <c r="B48" s="79">
        <f t="shared" si="9"/>
        <v>11</v>
      </c>
      <c r="C48" s="108" t="str">
        <f t="shared" si="9"/>
        <v>PL Muslo ®</v>
      </c>
      <c r="D48" s="79">
        <f t="shared" si="10"/>
        <v>1</v>
      </c>
      <c r="E48" s="79">
        <f t="shared" si="11"/>
        <v>1</v>
      </c>
      <c r="F48" s="79">
        <f t="shared" si="12"/>
        <v>1</v>
      </c>
      <c r="G48" s="79">
        <f t="shared" si="13"/>
        <v>0</v>
      </c>
      <c r="H48" s="79">
        <f t="shared" si="14"/>
        <v>0</v>
      </c>
      <c r="I48" s="79">
        <f t="shared" si="15"/>
        <v>1</v>
      </c>
      <c r="J48" s="79">
        <f t="shared" si="15"/>
        <v>1</v>
      </c>
      <c r="M48" s="77"/>
      <c r="N48" s="72" t="str">
        <f>'1'!N48</f>
        <v>Índice Cintura/Cadera</v>
      </c>
      <c r="O48" s="293" t="str">
        <f>IFERROR(O28/O29, "-")</f>
        <v>-</v>
      </c>
      <c r="P48" s="294"/>
      <c r="Q48" s="53"/>
      <c r="S48" s="78"/>
    </row>
    <row r="49" spans="2:19" ht="18" customHeight="1" thickBot="1" x14ac:dyDescent="0.25">
      <c r="B49" s="79">
        <f t="shared" si="9"/>
        <v>12</v>
      </c>
      <c r="C49" s="108" t="str">
        <f t="shared" si="9"/>
        <v>PL Pierna ®</v>
      </c>
      <c r="D49" s="79">
        <f t="shared" si="10"/>
        <v>1</v>
      </c>
      <c r="E49" s="79">
        <f t="shared" si="11"/>
        <v>1</v>
      </c>
      <c r="F49" s="79">
        <f t="shared" si="12"/>
        <v>1</v>
      </c>
      <c r="G49" s="79">
        <f t="shared" si="13"/>
        <v>0</v>
      </c>
      <c r="H49" s="79">
        <f t="shared" si="14"/>
        <v>0</v>
      </c>
      <c r="I49" s="79">
        <f t="shared" si="15"/>
        <v>1</v>
      </c>
      <c r="J49" s="79">
        <f t="shared" si="15"/>
        <v>1</v>
      </c>
      <c r="M49" s="77"/>
      <c r="S49" s="78"/>
    </row>
    <row r="50" spans="2:19" ht="18" customHeight="1" thickBot="1" x14ac:dyDescent="0.25">
      <c r="B50" s="79">
        <f t="shared" si="9"/>
        <v>13</v>
      </c>
      <c r="C50" s="108" t="str">
        <f t="shared" si="9"/>
        <v>PR Brazo Relajado ®</v>
      </c>
      <c r="D50" s="79">
        <f t="shared" si="10"/>
        <v>1</v>
      </c>
      <c r="E50" s="79">
        <f t="shared" si="11"/>
        <v>1</v>
      </c>
      <c r="F50" s="79">
        <f t="shared" si="12"/>
        <v>1</v>
      </c>
      <c r="G50" s="79">
        <f t="shared" si="13"/>
        <v>0</v>
      </c>
      <c r="H50" s="79">
        <f t="shared" si="14"/>
        <v>0</v>
      </c>
      <c r="I50" s="79">
        <f t="shared" si="15"/>
        <v>1</v>
      </c>
      <c r="J50" s="79">
        <f t="shared" si="15"/>
        <v>1</v>
      </c>
      <c r="M50" s="77"/>
      <c r="N50" s="72" t="str">
        <f>'1'!N50</f>
        <v>Índice Cintura/Talla</v>
      </c>
      <c r="O50" s="293" t="str">
        <f>IFERROR(O28/O15, "-")</f>
        <v>-</v>
      </c>
      <c r="P50" s="294"/>
      <c r="S50" s="78"/>
    </row>
    <row r="51" spans="2:19" ht="18" customHeight="1" thickBot="1" x14ac:dyDescent="0.25">
      <c r="B51" s="79">
        <f t="shared" si="9"/>
        <v>14</v>
      </c>
      <c r="C51" s="108" t="str">
        <f t="shared" si="9"/>
        <v>PR Brazo Flexionado y Contraído ®</v>
      </c>
      <c r="D51" s="79">
        <f t="shared" si="10"/>
        <v>1</v>
      </c>
      <c r="E51" s="79">
        <f t="shared" si="11"/>
        <v>1</v>
      </c>
      <c r="F51" s="79">
        <f t="shared" si="12"/>
        <v>1</v>
      </c>
      <c r="G51" s="79">
        <f t="shared" si="13"/>
        <v>0</v>
      </c>
      <c r="H51" s="79">
        <f t="shared" si="14"/>
        <v>0</v>
      </c>
      <c r="I51" s="79">
        <f t="shared" si="15"/>
        <v>1</v>
      </c>
      <c r="J51" s="79">
        <f t="shared" si="15"/>
        <v>1</v>
      </c>
      <c r="M51" s="77"/>
      <c r="Q51" s="53"/>
      <c r="S51" s="78"/>
    </row>
    <row r="52" spans="2:19" ht="18" customHeight="1" thickBot="1" x14ac:dyDescent="0.25">
      <c r="B52" s="79">
        <f t="shared" si="9"/>
        <v>15</v>
      </c>
      <c r="C52" s="108" t="str">
        <f t="shared" si="9"/>
        <v>PR Cintura ®</v>
      </c>
      <c r="D52" s="79">
        <f t="shared" si="10"/>
        <v>1</v>
      </c>
      <c r="E52" s="79">
        <f t="shared" si="11"/>
        <v>1</v>
      </c>
      <c r="F52" s="79">
        <f t="shared" si="12"/>
        <v>1</v>
      </c>
      <c r="G52" s="79">
        <f t="shared" si="13"/>
        <v>0</v>
      </c>
      <c r="H52" s="79">
        <f t="shared" si="14"/>
        <v>0</v>
      </c>
      <c r="I52" s="79">
        <f t="shared" si="15"/>
        <v>1</v>
      </c>
      <c r="J52" s="79">
        <f t="shared" si="15"/>
        <v>1</v>
      </c>
      <c r="M52" s="77"/>
      <c r="N52" s="72" t="str">
        <f>'1'!N52</f>
        <v>Sumatorio de 8 pliegues</v>
      </c>
      <c r="O52" s="103">
        <f>IFERROR(SUM(O18:O25), "-")</f>
        <v>0</v>
      </c>
      <c r="P52" s="104" t="s">
        <v>27</v>
      </c>
      <c r="S52" s="78"/>
    </row>
    <row r="53" spans="2:19" ht="18" customHeight="1" thickBot="1" x14ac:dyDescent="0.25">
      <c r="B53" s="79">
        <f t="shared" si="9"/>
        <v>16</v>
      </c>
      <c r="C53" s="108" t="str">
        <f t="shared" si="9"/>
        <v>PR Caderas ®</v>
      </c>
      <c r="D53" s="79">
        <f t="shared" si="10"/>
        <v>1</v>
      </c>
      <c r="E53" s="79">
        <f t="shared" si="11"/>
        <v>1</v>
      </c>
      <c r="F53" s="79">
        <f t="shared" si="12"/>
        <v>1</v>
      </c>
      <c r="G53" s="79">
        <f t="shared" si="13"/>
        <v>0</v>
      </c>
      <c r="H53" s="79">
        <f t="shared" si="14"/>
        <v>0</v>
      </c>
      <c r="I53" s="79">
        <f t="shared" si="15"/>
        <v>1</v>
      </c>
      <c r="J53" s="79">
        <f t="shared" si="15"/>
        <v>1</v>
      </c>
      <c r="M53" s="77"/>
      <c r="P53" s="18"/>
      <c r="S53" s="78"/>
    </row>
    <row r="54" spans="2:19" ht="18" customHeight="1" thickBot="1" x14ac:dyDescent="0.25">
      <c r="B54" s="79">
        <f t="shared" ref="B54:C58" si="16">B30</f>
        <v>17</v>
      </c>
      <c r="C54" s="108" t="str">
        <f t="shared" si="16"/>
        <v>PR Muslo Medio ®</v>
      </c>
      <c r="D54" s="79">
        <f t="shared" si="10"/>
        <v>1</v>
      </c>
      <c r="E54" s="79">
        <f t="shared" si="11"/>
        <v>1</v>
      </c>
      <c r="F54" s="79">
        <f t="shared" si="12"/>
        <v>1</v>
      </c>
      <c r="G54" s="79">
        <f t="shared" si="13"/>
        <v>0</v>
      </c>
      <c r="H54" s="79">
        <f t="shared" si="14"/>
        <v>0</v>
      </c>
      <c r="I54" s="79">
        <f t="shared" ref="I54:J58" si="17">COUNTIF(D30, "")</f>
        <v>1</v>
      </c>
      <c r="J54" s="79">
        <f t="shared" si="17"/>
        <v>1</v>
      </c>
      <c r="M54" s="77"/>
      <c r="N54" s="72" t="str">
        <f>'1'!N54</f>
        <v>Sumatorio de 6 pliegues</v>
      </c>
      <c r="O54" s="103">
        <f>IFERROR(SUM(O18:O19, O22:O25), "-")</f>
        <v>0</v>
      </c>
      <c r="P54" s="104" t="s">
        <v>27</v>
      </c>
      <c r="S54" s="78"/>
    </row>
    <row r="55" spans="2:19" ht="18" customHeight="1" thickBot="1" x14ac:dyDescent="0.25">
      <c r="B55" s="79">
        <f t="shared" si="16"/>
        <v>18</v>
      </c>
      <c r="C55" s="108" t="str">
        <f t="shared" si="16"/>
        <v>PR Pierna ®</v>
      </c>
      <c r="D55" s="79">
        <f t="shared" si="10"/>
        <v>1</v>
      </c>
      <c r="E55" s="79">
        <f t="shared" si="11"/>
        <v>1</v>
      </c>
      <c r="F55" s="79">
        <f t="shared" si="12"/>
        <v>1</v>
      </c>
      <c r="G55" s="79">
        <f t="shared" si="13"/>
        <v>0</v>
      </c>
      <c r="H55" s="79">
        <f t="shared" si="14"/>
        <v>0</v>
      </c>
      <c r="I55" s="79">
        <f t="shared" si="17"/>
        <v>1</v>
      </c>
      <c r="J55" s="79">
        <f t="shared" si="17"/>
        <v>1</v>
      </c>
      <c r="M55" s="77"/>
      <c r="S55" s="78"/>
    </row>
    <row r="56" spans="2:19" ht="18" customHeight="1" thickBot="1" x14ac:dyDescent="0.25">
      <c r="B56" s="79">
        <f t="shared" si="16"/>
        <v>19</v>
      </c>
      <c r="C56" s="108" t="str">
        <f t="shared" si="16"/>
        <v>D Húmero ®</v>
      </c>
      <c r="D56" s="79">
        <f t="shared" si="10"/>
        <v>1</v>
      </c>
      <c r="E56" s="79">
        <f t="shared" si="11"/>
        <v>1</v>
      </c>
      <c r="F56" s="79">
        <f t="shared" si="12"/>
        <v>1</v>
      </c>
      <c r="G56" s="79">
        <f t="shared" si="13"/>
        <v>0</v>
      </c>
      <c r="H56" s="79">
        <f t="shared" si="14"/>
        <v>0</v>
      </c>
      <c r="I56" s="79">
        <f t="shared" si="17"/>
        <v>1</v>
      </c>
      <c r="J56" s="79">
        <f t="shared" si="17"/>
        <v>1</v>
      </c>
      <c r="M56" s="77"/>
      <c r="N56" s="281" t="str">
        <f>'1'!N56</f>
        <v>Composición Corporal 4 Componentes</v>
      </c>
      <c r="O56" s="282"/>
      <c r="P56" s="282"/>
      <c r="Q56" s="199"/>
      <c r="S56" s="78"/>
    </row>
    <row r="57" spans="2:19" ht="18" customHeight="1" thickBot="1" x14ac:dyDescent="0.25">
      <c r="B57" s="79">
        <f t="shared" si="16"/>
        <v>20</v>
      </c>
      <c r="C57" s="108" t="str">
        <f t="shared" si="16"/>
        <v>D Biestiloideo ®</v>
      </c>
      <c r="D57" s="79">
        <f t="shared" si="10"/>
        <v>1</v>
      </c>
      <c r="E57" s="79">
        <f t="shared" si="11"/>
        <v>1</v>
      </c>
      <c r="F57" s="79">
        <f t="shared" si="12"/>
        <v>1</v>
      </c>
      <c r="G57" s="79">
        <f t="shared" si="13"/>
        <v>0</v>
      </c>
      <c r="H57" s="79">
        <f t="shared" si="14"/>
        <v>0</v>
      </c>
      <c r="I57" s="79">
        <f t="shared" si="17"/>
        <v>1</v>
      </c>
      <c r="J57" s="79">
        <f t="shared" si="17"/>
        <v>1</v>
      </c>
      <c r="M57" s="77"/>
      <c r="N57" s="55"/>
      <c r="O57" s="72" t="str">
        <f>'1'!O57</f>
        <v>Porcentaje</v>
      </c>
      <c r="P57" s="72" t="str">
        <f>'1'!P57</f>
        <v>Masa Real</v>
      </c>
      <c r="S57" s="78"/>
    </row>
    <row r="58" spans="2:19" ht="18" customHeight="1" x14ac:dyDescent="0.2">
      <c r="B58" s="79">
        <f t="shared" si="16"/>
        <v>21</v>
      </c>
      <c r="C58" s="108" t="str">
        <f t="shared" si="16"/>
        <v>D Fémur ®</v>
      </c>
      <c r="D58" s="79">
        <f t="shared" si="10"/>
        <v>1</v>
      </c>
      <c r="E58" s="79">
        <f t="shared" si="11"/>
        <v>1</v>
      </c>
      <c r="F58" s="79">
        <f t="shared" si="12"/>
        <v>1</v>
      </c>
      <c r="G58" s="79">
        <f t="shared" si="13"/>
        <v>0</v>
      </c>
      <c r="H58" s="79">
        <f t="shared" si="14"/>
        <v>0</v>
      </c>
      <c r="I58" s="79">
        <f t="shared" si="17"/>
        <v>1</v>
      </c>
      <c r="J58" s="79">
        <f t="shared" si="17"/>
        <v>1</v>
      </c>
      <c r="M58" s="77"/>
      <c r="N58" s="206" t="str">
        <f>'1'!N58</f>
        <v>Masa Muscular - Lee</v>
      </c>
      <c r="O58" s="207" t="str">
        <f>IFERROR(P58/O14, "-")</f>
        <v>-</v>
      </c>
      <c r="P58" s="208" t="str">
        <f>IFERROR(O15/100*(0.00744*O35^2+0.00088*O36^2+0.00441*O37^2)+(2.4*(IF(O7=1,1,0)))-0.048*((O9-O10)/365.25)+IF(O6="1",-2,IF(O6="2",1.1,0))+7.8, "-")</f>
        <v>-</v>
      </c>
      <c r="S58" s="78"/>
    </row>
    <row r="59" spans="2:19" ht="18" customHeight="1" x14ac:dyDescent="0.2">
      <c r="B59" s="79" t="s">
        <v>44</v>
      </c>
      <c r="C59" s="108" t="s">
        <v>45</v>
      </c>
      <c r="D59" s="79">
        <f t="shared" ref="D59:J59" si="18">SUM(D38:D58)</f>
        <v>21</v>
      </c>
      <c r="E59" s="79">
        <f t="shared" si="18"/>
        <v>21</v>
      </c>
      <c r="F59" s="79">
        <f t="shared" si="18"/>
        <v>21</v>
      </c>
      <c r="G59" s="79">
        <f t="shared" si="18"/>
        <v>0</v>
      </c>
      <c r="H59" s="79">
        <f t="shared" si="18"/>
        <v>0</v>
      </c>
      <c r="I59" s="79">
        <f t="shared" si="18"/>
        <v>21</v>
      </c>
      <c r="J59" s="79">
        <f t="shared" si="18"/>
        <v>21</v>
      </c>
      <c r="M59" s="77"/>
      <c r="N59" s="209" t="str">
        <f>'1'!N59</f>
        <v>Masa Ósea - Rocha</v>
      </c>
      <c r="O59" s="210" t="str">
        <f>IFERROR(P59/O14, "-")</f>
        <v>-</v>
      </c>
      <c r="P59" s="211" t="str">
        <f>IFERROR(3.02*(((O15/100)^2)*(O33/100)*(O34/100)*400)^0.712, "-")</f>
        <v>-</v>
      </c>
      <c r="R59" s="53"/>
      <c r="S59" s="78"/>
    </row>
    <row r="60" spans="2:19" ht="18" customHeight="1" x14ac:dyDescent="0.2">
      <c r="B60" s="79"/>
      <c r="C60" s="108"/>
      <c r="D60" s="79"/>
      <c r="E60" s="79"/>
      <c r="F60" s="79"/>
      <c r="G60" s="79"/>
      <c r="H60" s="79"/>
      <c r="I60" s="79"/>
      <c r="J60" s="79"/>
      <c r="M60" s="77"/>
      <c r="N60" s="212" t="str">
        <f>'1'!N60</f>
        <v>Masa Residual</v>
      </c>
      <c r="O60" s="213" t="str">
        <f>IFERROR(1-O58-O61-O59, "-")</f>
        <v>-</v>
      </c>
      <c r="P60" s="214" t="str">
        <f>IFERROR(O14-P58-P61-P59, "-")</f>
        <v>-</v>
      </c>
      <c r="R60" s="53"/>
      <c r="S60" s="78"/>
    </row>
    <row r="61" spans="2:19" ht="18" customHeight="1" thickBot="1" x14ac:dyDescent="0.25">
      <c r="B61" s="79">
        <f t="shared" ref="B61:C76" si="19">B14</f>
        <v>1</v>
      </c>
      <c r="C61" s="108" t="str">
        <f t="shared" si="19"/>
        <v>Masa Corporal ®</v>
      </c>
      <c r="D61" s="79">
        <f t="shared" ref="D61:D81" si="20">ABS(D14-E14)</f>
        <v>0</v>
      </c>
      <c r="E61" s="79">
        <f t="shared" ref="E61:E81" si="21">ABS(F14-D14)</f>
        <v>0</v>
      </c>
      <c r="F61" s="79">
        <f t="shared" ref="F61:F81" si="22">ABS(E14-F14)</f>
        <v>0</v>
      </c>
      <c r="G61" s="109">
        <f t="shared" ref="G61:G81" si="23">IF(D61=MIN(D61:F61), D14, IF(E61=MIN(D61:F61), D14, E14))</f>
        <v>0</v>
      </c>
      <c r="H61" s="109">
        <f t="shared" ref="H61:H81" si="24">IF(D61=MIN(D61:F61), E14, IF(E61=MIN(D61:F61), F14, F14))</f>
        <v>0</v>
      </c>
      <c r="I61" s="79"/>
      <c r="J61" s="79"/>
      <c r="M61" s="77"/>
      <c r="N61" s="215" t="str">
        <f>'1'!N61</f>
        <v>Masa Adiposa - Kerr</v>
      </c>
      <c r="O61" s="216" t="str">
        <f>IFERROR(P61/O14, "-")</f>
        <v>-</v>
      </c>
      <c r="P61" s="217" t="str">
        <f>IFERROR((((((O54*(170.18/O15)-116.41)/34.79)*5.85)+25.6)/(170.18/O15)^3), "-")</f>
        <v>-</v>
      </c>
      <c r="S61" s="78"/>
    </row>
    <row r="62" spans="2:19" ht="18" customHeight="1" x14ac:dyDescent="0.2">
      <c r="B62" s="79">
        <f t="shared" si="19"/>
        <v>2</v>
      </c>
      <c r="C62" s="108" t="str">
        <f t="shared" si="19"/>
        <v>Talla ®</v>
      </c>
      <c r="D62" s="79">
        <f t="shared" si="20"/>
        <v>0</v>
      </c>
      <c r="E62" s="79">
        <f t="shared" si="21"/>
        <v>0</v>
      </c>
      <c r="F62" s="79">
        <f t="shared" si="22"/>
        <v>0</v>
      </c>
      <c r="G62" s="109">
        <f t="shared" si="23"/>
        <v>0</v>
      </c>
      <c r="H62" s="109">
        <f t="shared" si="24"/>
        <v>0</v>
      </c>
      <c r="I62" s="79"/>
      <c r="J62" s="79"/>
      <c r="M62" s="77"/>
      <c r="N62" s="200" t="str">
        <f>'1'!N62</f>
        <v>Masa Grasa - Faulkner</v>
      </c>
      <c r="O62" s="201" t="str">
        <f>IFERROR(IF(O7=1, 0.153*(O18+O19+O22+O23)+5.783, 0.213*(O18+O19+O22+O23)+7.9)/100, "-")</f>
        <v>-</v>
      </c>
      <c r="P62" s="202" t="str">
        <f>IFERROR(O14*O62, "-")</f>
        <v>-</v>
      </c>
      <c r="S62" s="78"/>
    </row>
    <row r="63" spans="2:19" ht="18" customHeight="1" thickBot="1" x14ac:dyDescent="0.25">
      <c r="B63" s="79">
        <f t="shared" si="19"/>
        <v>3</v>
      </c>
      <c r="C63" s="108" t="str">
        <f t="shared" si="19"/>
        <v>Talla Sentado ®</v>
      </c>
      <c r="D63" s="79">
        <f t="shared" si="20"/>
        <v>0</v>
      </c>
      <c r="E63" s="79">
        <f t="shared" si="21"/>
        <v>0</v>
      </c>
      <c r="F63" s="79">
        <f t="shared" si="22"/>
        <v>0</v>
      </c>
      <c r="G63" s="109">
        <f t="shared" si="23"/>
        <v>0</v>
      </c>
      <c r="H63" s="109">
        <f t="shared" si="24"/>
        <v>0</v>
      </c>
      <c r="I63" s="79"/>
      <c r="J63" s="79"/>
      <c r="M63" s="77"/>
      <c r="N63" s="203" t="str">
        <f>'1'!N63</f>
        <v>Masa Grasa - Carter</v>
      </c>
      <c r="O63" s="204" t="str">
        <f>IFERROR(IF(O54=0, "-", IF(O7=1, 0.1051*(O54)+2.58, 0.1548*(O54)+3.58)/100), "-")</f>
        <v>-</v>
      </c>
      <c r="P63" s="205" t="str">
        <f>IFERROR(O14*O63, "-")</f>
        <v>-</v>
      </c>
      <c r="S63" s="78"/>
    </row>
    <row r="64" spans="2:19" ht="18" customHeight="1" thickBot="1" x14ac:dyDescent="0.25">
      <c r="B64" s="79">
        <f t="shared" si="19"/>
        <v>4</v>
      </c>
      <c r="C64" s="108" t="str">
        <f t="shared" si="19"/>
        <v>Envergadura de Brazos ®</v>
      </c>
      <c r="D64" s="79">
        <f t="shared" si="20"/>
        <v>0</v>
      </c>
      <c r="E64" s="79">
        <f t="shared" si="21"/>
        <v>0</v>
      </c>
      <c r="F64" s="79">
        <f t="shared" si="22"/>
        <v>0</v>
      </c>
      <c r="G64" s="109">
        <f t="shared" si="23"/>
        <v>0</v>
      </c>
      <c r="H64" s="109">
        <f t="shared" si="24"/>
        <v>0</v>
      </c>
      <c r="I64" s="79"/>
      <c r="J64" s="79"/>
      <c r="M64" s="77"/>
      <c r="N64" s="72" t="str">
        <f>'1'!N64</f>
        <v>Masa Total</v>
      </c>
      <c r="O64" s="106">
        <f>IFERROR(SUM(O58:O61), "-")</f>
        <v>0</v>
      </c>
      <c r="P64" s="107">
        <f>IFERROR(SUM(P58:P61), "-")</f>
        <v>0</v>
      </c>
      <c r="R64" s="53"/>
      <c r="S64" s="78"/>
    </row>
    <row r="65" spans="2:19" ht="18" customHeight="1" thickBot="1" x14ac:dyDescent="0.25">
      <c r="B65" s="79">
        <f t="shared" si="19"/>
        <v>5</v>
      </c>
      <c r="C65" s="108" t="str">
        <f t="shared" si="19"/>
        <v>PL Tríceps ®</v>
      </c>
      <c r="D65" s="79">
        <f t="shared" si="20"/>
        <v>0</v>
      </c>
      <c r="E65" s="79">
        <f t="shared" si="21"/>
        <v>0</v>
      </c>
      <c r="F65" s="79">
        <f t="shared" si="22"/>
        <v>0</v>
      </c>
      <c r="G65" s="109">
        <f t="shared" si="23"/>
        <v>0</v>
      </c>
      <c r="H65" s="109">
        <f t="shared" si="24"/>
        <v>0</v>
      </c>
      <c r="I65" s="79"/>
      <c r="J65" s="79"/>
      <c r="M65" s="218"/>
      <c r="N65" s="219"/>
      <c r="O65" s="219"/>
      <c r="P65" s="219"/>
      <c r="Q65" s="219"/>
      <c r="R65" s="220"/>
      <c r="S65" s="221"/>
    </row>
    <row r="66" spans="2:19" ht="18" customHeight="1" thickTop="1" x14ac:dyDescent="0.2">
      <c r="B66" s="79">
        <f t="shared" si="19"/>
        <v>6</v>
      </c>
      <c r="C66" s="108" t="str">
        <f t="shared" si="19"/>
        <v>PL Subescapular ®</v>
      </c>
      <c r="D66" s="79">
        <f t="shared" si="20"/>
        <v>0</v>
      </c>
      <c r="E66" s="79">
        <f t="shared" si="21"/>
        <v>0</v>
      </c>
      <c r="F66" s="79">
        <f t="shared" si="22"/>
        <v>0</v>
      </c>
      <c r="G66" s="109">
        <f t="shared" si="23"/>
        <v>0</v>
      </c>
      <c r="H66" s="109">
        <f t="shared" si="24"/>
        <v>0</v>
      </c>
      <c r="I66" s="79"/>
      <c r="J66" s="79"/>
      <c r="M66" s="197"/>
      <c r="N66" s="197"/>
      <c r="O66" s="197"/>
      <c r="P66" s="197"/>
      <c r="Q66" s="197"/>
      <c r="R66" s="198"/>
      <c r="S66" s="197"/>
    </row>
    <row r="67" spans="2:19" ht="18" customHeight="1" x14ac:dyDescent="0.2">
      <c r="B67" s="79">
        <f t="shared" si="19"/>
        <v>7</v>
      </c>
      <c r="C67" s="108" t="str">
        <f t="shared" si="19"/>
        <v>PL Bíceps ®</v>
      </c>
      <c r="D67" s="79">
        <f t="shared" si="20"/>
        <v>0</v>
      </c>
      <c r="E67" s="79">
        <f t="shared" si="21"/>
        <v>0</v>
      </c>
      <c r="F67" s="79">
        <f t="shared" si="22"/>
        <v>0</v>
      </c>
      <c r="G67" s="109">
        <f t="shared" si="23"/>
        <v>0</v>
      </c>
      <c r="H67" s="109">
        <f t="shared" si="24"/>
        <v>0</v>
      </c>
      <c r="I67" s="79"/>
      <c r="J67" s="79"/>
      <c r="R67" s="53"/>
    </row>
    <row r="68" spans="2:19" ht="18" customHeight="1" x14ac:dyDescent="0.2">
      <c r="B68" s="79">
        <f t="shared" si="19"/>
        <v>8</v>
      </c>
      <c r="C68" s="108" t="str">
        <f t="shared" si="19"/>
        <v>PL Cresta Ilíaca ®</v>
      </c>
      <c r="D68" s="79">
        <f t="shared" si="20"/>
        <v>0</v>
      </c>
      <c r="E68" s="79">
        <f t="shared" si="21"/>
        <v>0</v>
      </c>
      <c r="F68" s="79">
        <f t="shared" si="22"/>
        <v>0</v>
      </c>
      <c r="G68" s="109">
        <f t="shared" si="23"/>
        <v>0</v>
      </c>
      <c r="H68" s="109">
        <f t="shared" si="24"/>
        <v>0</v>
      </c>
      <c r="I68" s="79"/>
      <c r="J68" s="79"/>
    </row>
    <row r="69" spans="2:19" ht="18" customHeight="1" x14ac:dyDescent="0.2">
      <c r="B69" s="79">
        <f t="shared" si="19"/>
        <v>9</v>
      </c>
      <c r="C69" s="108" t="str">
        <f t="shared" si="19"/>
        <v>PL Supraespinal ®</v>
      </c>
      <c r="D69" s="79">
        <f t="shared" si="20"/>
        <v>0</v>
      </c>
      <c r="E69" s="79">
        <f t="shared" si="21"/>
        <v>0</v>
      </c>
      <c r="F69" s="79">
        <f t="shared" si="22"/>
        <v>0</v>
      </c>
      <c r="G69" s="109">
        <f t="shared" si="23"/>
        <v>0</v>
      </c>
      <c r="H69" s="109">
        <f t="shared" si="24"/>
        <v>0</v>
      </c>
      <c r="I69" s="79"/>
      <c r="J69" s="79"/>
    </row>
    <row r="70" spans="2:19" ht="18" customHeight="1" x14ac:dyDescent="0.2">
      <c r="B70" s="79">
        <f t="shared" si="19"/>
        <v>10</v>
      </c>
      <c r="C70" s="108" t="str">
        <f t="shared" si="19"/>
        <v>PL Abdominal ®</v>
      </c>
      <c r="D70" s="79">
        <f t="shared" si="20"/>
        <v>0</v>
      </c>
      <c r="E70" s="79">
        <f t="shared" si="21"/>
        <v>0</v>
      </c>
      <c r="F70" s="79">
        <f t="shared" si="22"/>
        <v>0</v>
      </c>
      <c r="G70" s="109">
        <f t="shared" si="23"/>
        <v>0</v>
      </c>
      <c r="H70" s="109">
        <f t="shared" si="24"/>
        <v>0</v>
      </c>
      <c r="I70" s="79"/>
      <c r="J70" s="79"/>
    </row>
    <row r="71" spans="2:19" ht="18" customHeight="1" x14ac:dyDescent="0.2">
      <c r="B71" s="79">
        <f t="shared" si="19"/>
        <v>11</v>
      </c>
      <c r="C71" s="108" t="str">
        <f t="shared" si="19"/>
        <v>PL Muslo ®</v>
      </c>
      <c r="D71" s="79">
        <f t="shared" si="20"/>
        <v>0</v>
      </c>
      <c r="E71" s="79">
        <f t="shared" si="21"/>
        <v>0</v>
      </c>
      <c r="F71" s="79">
        <f t="shared" si="22"/>
        <v>0</v>
      </c>
      <c r="G71" s="109">
        <f t="shared" si="23"/>
        <v>0</v>
      </c>
      <c r="H71" s="109">
        <f t="shared" si="24"/>
        <v>0</v>
      </c>
      <c r="I71" s="79"/>
      <c r="J71" s="79"/>
    </row>
    <row r="72" spans="2:19" ht="18" customHeight="1" x14ac:dyDescent="0.2">
      <c r="B72" s="79">
        <f t="shared" si="19"/>
        <v>12</v>
      </c>
      <c r="C72" s="108" t="str">
        <f t="shared" si="19"/>
        <v>PL Pierna ®</v>
      </c>
      <c r="D72" s="79">
        <f t="shared" si="20"/>
        <v>0</v>
      </c>
      <c r="E72" s="79">
        <f t="shared" si="21"/>
        <v>0</v>
      </c>
      <c r="F72" s="79">
        <f t="shared" si="22"/>
        <v>0</v>
      </c>
      <c r="G72" s="109">
        <f t="shared" si="23"/>
        <v>0</v>
      </c>
      <c r="H72" s="109">
        <f t="shared" si="24"/>
        <v>0</v>
      </c>
      <c r="I72" s="79"/>
      <c r="J72" s="79"/>
    </row>
    <row r="73" spans="2:19" ht="18" customHeight="1" x14ac:dyDescent="0.2">
      <c r="B73" s="79">
        <f t="shared" si="19"/>
        <v>13</v>
      </c>
      <c r="C73" s="108" t="str">
        <f t="shared" si="19"/>
        <v>PR Brazo Relajado ®</v>
      </c>
      <c r="D73" s="79">
        <f t="shared" si="20"/>
        <v>0</v>
      </c>
      <c r="E73" s="79">
        <f t="shared" si="21"/>
        <v>0</v>
      </c>
      <c r="F73" s="79">
        <f t="shared" si="22"/>
        <v>0</v>
      </c>
      <c r="G73" s="109">
        <f t="shared" si="23"/>
        <v>0</v>
      </c>
      <c r="H73" s="109">
        <f t="shared" si="24"/>
        <v>0</v>
      </c>
      <c r="I73" s="79"/>
      <c r="J73" s="79"/>
    </row>
    <row r="74" spans="2:19" ht="18" customHeight="1" x14ac:dyDescent="0.2">
      <c r="B74" s="79">
        <f t="shared" si="19"/>
        <v>14</v>
      </c>
      <c r="C74" s="108" t="str">
        <f t="shared" si="19"/>
        <v>PR Brazo Flexionado y Contraído ®</v>
      </c>
      <c r="D74" s="79">
        <f t="shared" si="20"/>
        <v>0</v>
      </c>
      <c r="E74" s="79">
        <f t="shared" si="21"/>
        <v>0</v>
      </c>
      <c r="F74" s="79">
        <f t="shared" si="22"/>
        <v>0</v>
      </c>
      <c r="G74" s="109">
        <f t="shared" si="23"/>
        <v>0</v>
      </c>
      <c r="H74" s="109">
        <f t="shared" si="24"/>
        <v>0</v>
      </c>
      <c r="I74" s="79"/>
      <c r="J74" s="79"/>
    </row>
    <row r="75" spans="2:19" ht="18" customHeight="1" x14ac:dyDescent="0.2">
      <c r="B75" s="79">
        <f t="shared" si="19"/>
        <v>15</v>
      </c>
      <c r="C75" s="108" t="str">
        <f t="shared" si="19"/>
        <v>PR Cintura ®</v>
      </c>
      <c r="D75" s="79">
        <f t="shared" si="20"/>
        <v>0</v>
      </c>
      <c r="E75" s="79">
        <f t="shared" si="21"/>
        <v>0</v>
      </c>
      <c r="F75" s="79">
        <f t="shared" si="22"/>
        <v>0</v>
      </c>
      <c r="G75" s="109">
        <f t="shared" si="23"/>
        <v>0</v>
      </c>
      <c r="H75" s="109">
        <f t="shared" si="24"/>
        <v>0</v>
      </c>
      <c r="I75" s="79"/>
      <c r="J75" s="79"/>
    </row>
    <row r="76" spans="2:19" ht="18" customHeight="1" x14ac:dyDescent="0.2">
      <c r="B76" s="79">
        <f t="shared" si="19"/>
        <v>16</v>
      </c>
      <c r="C76" s="108" t="str">
        <f t="shared" si="19"/>
        <v>PR Caderas ®</v>
      </c>
      <c r="D76" s="79">
        <f t="shared" si="20"/>
        <v>0</v>
      </c>
      <c r="E76" s="79">
        <f t="shared" si="21"/>
        <v>0</v>
      </c>
      <c r="F76" s="79">
        <f t="shared" si="22"/>
        <v>0</v>
      </c>
      <c r="G76" s="109">
        <f t="shared" si="23"/>
        <v>0</v>
      </c>
      <c r="H76" s="109">
        <f t="shared" si="24"/>
        <v>0</v>
      </c>
      <c r="I76" s="79"/>
      <c r="J76" s="79"/>
    </row>
    <row r="77" spans="2:19" ht="18" customHeight="1" x14ac:dyDescent="0.2">
      <c r="B77" s="79">
        <f t="shared" ref="B77:C81" si="25">B30</f>
        <v>17</v>
      </c>
      <c r="C77" s="108" t="str">
        <f t="shared" si="25"/>
        <v>PR Muslo Medio ®</v>
      </c>
      <c r="D77" s="79">
        <f t="shared" si="20"/>
        <v>0</v>
      </c>
      <c r="E77" s="79">
        <f t="shared" si="21"/>
        <v>0</v>
      </c>
      <c r="F77" s="79">
        <f t="shared" si="22"/>
        <v>0</v>
      </c>
      <c r="G77" s="109">
        <f t="shared" si="23"/>
        <v>0</v>
      </c>
      <c r="H77" s="109">
        <f t="shared" si="24"/>
        <v>0</v>
      </c>
      <c r="I77" s="79"/>
      <c r="J77" s="79"/>
    </row>
    <row r="78" spans="2:19" ht="18" customHeight="1" x14ac:dyDescent="0.2">
      <c r="B78" s="79">
        <f t="shared" si="25"/>
        <v>18</v>
      </c>
      <c r="C78" s="108" t="str">
        <f t="shared" si="25"/>
        <v>PR Pierna ®</v>
      </c>
      <c r="D78" s="79">
        <f t="shared" si="20"/>
        <v>0</v>
      </c>
      <c r="E78" s="79">
        <f t="shared" si="21"/>
        <v>0</v>
      </c>
      <c r="F78" s="79">
        <f t="shared" si="22"/>
        <v>0</v>
      </c>
      <c r="G78" s="109">
        <f t="shared" si="23"/>
        <v>0</v>
      </c>
      <c r="H78" s="109">
        <f t="shared" si="24"/>
        <v>0</v>
      </c>
      <c r="I78" s="79"/>
      <c r="J78" s="79"/>
    </row>
    <row r="79" spans="2:19" ht="18" customHeight="1" x14ac:dyDescent="0.2">
      <c r="B79" s="79">
        <f t="shared" si="25"/>
        <v>19</v>
      </c>
      <c r="C79" s="108" t="str">
        <f t="shared" si="25"/>
        <v>D Húmero ®</v>
      </c>
      <c r="D79" s="79">
        <f t="shared" si="20"/>
        <v>0</v>
      </c>
      <c r="E79" s="79">
        <f t="shared" si="21"/>
        <v>0</v>
      </c>
      <c r="F79" s="79">
        <f t="shared" si="22"/>
        <v>0</v>
      </c>
      <c r="G79" s="109">
        <f t="shared" si="23"/>
        <v>0</v>
      </c>
      <c r="H79" s="109">
        <f t="shared" si="24"/>
        <v>0</v>
      </c>
      <c r="I79" s="79"/>
      <c r="J79" s="79"/>
    </row>
    <row r="80" spans="2:19" ht="18" customHeight="1" x14ac:dyDescent="0.2">
      <c r="B80" s="79">
        <f t="shared" si="25"/>
        <v>20</v>
      </c>
      <c r="C80" s="108" t="str">
        <f t="shared" si="25"/>
        <v>D Biestiloideo ®</v>
      </c>
      <c r="D80" s="79">
        <f t="shared" si="20"/>
        <v>0</v>
      </c>
      <c r="E80" s="79">
        <f t="shared" si="21"/>
        <v>0</v>
      </c>
      <c r="F80" s="79">
        <f t="shared" si="22"/>
        <v>0</v>
      </c>
      <c r="G80" s="109">
        <f t="shared" si="23"/>
        <v>0</v>
      </c>
      <c r="H80" s="109">
        <f t="shared" si="24"/>
        <v>0</v>
      </c>
      <c r="I80" s="79"/>
      <c r="J80" s="79"/>
    </row>
    <row r="81" spans="2:10" ht="18" customHeight="1" x14ac:dyDescent="0.2">
      <c r="B81" s="79">
        <f t="shared" si="25"/>
        <v>21</v>
      </c>
      <c r="C81" s="108" t="str">
        <f t="shared" si="25"/>
        <v>D Fémur ®</v>
      </c>
      <c r="D81" s="79">
        <f t="shared" si="20"/>
        <v>0</v>
      </c>
      <c r="E81" s="79">
        <f t="shared" si="21"/>
        <v>0</v>
      </c>
      <c r="F81" s="79">
        <f t="shared" si="22"/>
        <v>0</v>
      </c>
      <c r="G81" s="109">
        <f t="shared" si="23"/>
        <v>0</v>
      </c>
      <c r="H81" s="109">
        <f t="shared" si="24"/>
        <v>0</v>
      </c>
      <c r="I81" s="79"/>
      <c r="J81" s="79"/>
    </row>
  </sheetData>
  <sheetProtection algorithmName="SHA-512" hashValue="ifZy4617b/jbHljy0GRmMHfT/dDgFYqOL2ghgBEElZa1NhRxLzeyFKVrAUH+M+N6M4uhQdgIlnjgmQxZQFoFNw==" saltValue="PMk9Fh9qWGBybEahtJ8Pjg==" spinCount="100000" sheet="1" objects="1" scenarios="1" selectLockedCells="1"/>
  <mergeCells count="30">
    <mergeCell ref="N56:P56"/>
    <mergeCell ref="K12:K13"/>
    <mergeCell ref="Q12:R12"/>
    <mergeCell ref="H13:I13"/>
    <mergeCell ref="N39:P39"/>
    <mergeCell ref="O40:P40"/>
    <mergeCell ref="O41:P41"/>
    <mergeCell ref="O42:P42"/>
    <mergeCell ref="O43:P43"/>
    <mergeCell ref="O44:P44"/>
    <mergeCell ref="O48:P48"/>
    <mergeCell ref="O50:P50"/>
    <mergeCell ref="D8:F8"/>
    <mergeCell ref="O8:Q8"/>
    <mergeCell ref="D9:F9"/>
    <mergeCell ref="O9:Q9"/>
    <mergeCell ref="D10:F10"/>
    <mergeCell ref="O10:Q10"/>
    <mergeCell ref="D5:F5"/>
    <mergeCell ref="O5:Q5"/>
    <mergeCell ref="D6:F6"/>
    <mergeCell ref="O6:Q6"/>
    <mergeCell ref="D7:F7"/>
    <mergeCell ref="O7:Q7"/>
    <mergeCell ref="C1:K1"/>
    <mergeCell ref="M1:S1"/>
    <mergeCell ref="D3:F3"/>
    <mergeCell ref="O3:Q3"/>
    <mergeCell ref="D4:F4"/>
    <mergeCell ref="O4:Q4"/>
  </mergeCells>
  <conditionalFormatting sqref="D3:F10">
    <cfRule type="containsBlanks" dxfId="66" priority="1">
      <formula>LEN(TRIM(D3))=0</formula>
    </cfRule>
  </conditionalFormatting>
  <conditionalFormatting sqref="D14:F34">
    <cfRule type="containsBlanks" dxfId="65" priority="5">
      <formula>LEN(TRIM(D14))=0</formula>
    </cfRule>
  </conditionalFormatting>
  <conditionalFormatting sqref="F14:F34">
    <cfRule type="expression" dxfId="64" priority="4">
      <formula>I14="No"</formula>
    </cfRule>
  </conditionalFormatting>
  <conditionalFormatting sqref="I14:I34">
    <cfRule type="expression" dxfId="63" priority="2">
      <formula>F14&lt;&gt;""</formula>
    </cfRule>
    <cfRule type="containsText" dxfId="62" priority="3" operator="containsText" text="Yes">
      <formula>NOT(ISERROR(SEARCH("Yes",I14)))</formula>
    </cfRule>
  </conditionalFormatting>
  <dataValidations count="2">
    <dataValidation type="list" allowBlank="1" showInputMessage="1" showErrorMessage="1" sqref="D7:F7" xr:uid="{E4D02F6F-523E-FA40-9E26-C713527800BF}">
      <formula1>"1, 2"</formula1>
    </dataValidation>
    <dataValidation type="list" allowBlank="1" showInputMessage="1" showErrorMessage="1" sqref="D6:F6" xr:uid="{8051D1B6-C7B4-9440-A8A9-606F90985CD7}">
      <formula1>"1, 2, 3"</formula1>
    </dataValidation>
  </dataValidations>
  <printOptions horizontalCentered="1" verticalCentered="1"/>
  <pageMargins left="0" right="0" top="0" bottom="0" header="0" footer="0"/>
  <pageSetup paperSize="9" scale="68"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20</vt:i4>
      </vt:variant>
    </vt:vector>
  </HeadingPairs>
  <TitlesOfParts>
    <vt:vector size="44" baseType="lpstr">
      <vt:lpstr>Info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Calculation TEM-ETM</vt:lpstr>
      <vt:lpstr>TEM-ICC ETM-ICC</vt:lpstr>
      <vt:lpstr>Analysis</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'3'!Área_de_impresión</vt:lpstr>
      <vt:lpstr>'4'!Área_de_impresión</vt:lpstr>
      <vt:lpstr>'5'!Área_de_impresión</vt:lpstr>
      <vt:lpstr>'6'!Área_de_impresión</vt:lpstr>
      <vt:lpstr>'7'!Área_de_impresión</vt:lpstr>
      <vt:lpstr>'8'!Área_de_impresión</vt:lpstr>
      <vt:lpstr>'9'!Área_de_impresión</vt:lpstr>
    </vt:vector>
  </TitlesOfParts>
  <Company>UGF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MIRP</dc:creator>
  <cp:lastModifiedBy>USUARIO</cp:lastModifiedBy>
  <cp:lastPrinted>2022-01-04T13:04:25Z</cp:lastPrinted>
  <dcterms:created xsi:type="dcterms:W3CDTF">2000-05-25T11:05:24Z</dcterms:created>
  <dcterms:modified xsi:type="dcterms:W3CDTF">2025-01-21T13:46:00Z</dcterms:modified>
</cp:coreProperties>
</file>