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NACH\SEMESTRE 2024 1S\ACADEMICO\COSTOS TERCER SEMESTRE A\UNIDADES\UNIDAD 2\MATERIAL\PROCESO\"/>
    </mc:Choice>
  </mc:AlternateContent>
  <xr:revisionPtr revIDLastSave="0" documentId="13_ncr:1_{53CD1232-7878-4C7A-8BB4-51D64C33EDF4}" xr6:coauthVersionLast="47" xr6:coauthVersionMax="47" xr10:uidLastSave="{00000000-0000-0000-0000-000000000000}"/>
  <bookViews>
    <workbookView xWindow="-110" yWindow="-110" windowWidth="19420" windowHeight="10300" firstSheet="7" activeTab="10" xr2:uid="{080E247B-8FE9-4FDF-85BF-75BDBDA6E0E9}"/>
  </bookViews>
  <sheets>
    <sheet name="DATOS" sheetId="10" r:id="rId1"/>
    <sheet name="tarjeta reloj" sheetId="1" r:id="rId2"/>
    <sheet name="resumen tarjetas de control" sheetId="5" r:id="rId3"/>
    <sheet name="tarjeta de tiempo" sheetId="2" r:id="rId4"/>
    <sheet name="resumen tarjetas de tiempo" sheetId="7" r:id="rId5"/>
    <sheet name="SUBSIDIOS" sheetId="14" r:id="rId6"/>
    <sheet name="HORAS EXTRAS" sheetId="15" r:id="rId7"/>
    <sheet name="PRESTAMOS AL IESS" sheetId="17" r:id="rId8"/>
    <sheet name="NÓMINA" sheetId="3" r:id="rId9"/>
    <sheet name="ASIGNACION COSTOS" sheetId="18" r:id="rId10"/>
    <sheet name="ASIENTO CONTABLE" sheetId="4" r:id="rId11"/>
  </sheets>
  <definedNames>
    <definedName name="_xlnm._FilterDatabase" localSheetId="0" hidden="1">DATOS!$A$9:$H$12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" l="1"/>
  <c r="E28" i="4"/>
  <c r="F30" i="4"/>
  <c r="F29" i="4"/>
  <c r="F21" i="4"/>
  <c r="D17" i="4"/>
  <c r="D15" i="4"/>
  <c r="D12" i="4"/>
  <c r="D11" i="4"/>
  <c r="D10" i="4"/>
  <c r="D9" i="4"/>
  <c r="D16" i="4" s="1"/>
  <c r="D8" i="4"/>
  <c r="D7" i="4"/>
  <c r="N13" i="3"/>
  <c r="M13" i="3"/>
  <c r="L13" i="3"/>
  <c r="K13" i="3"/>
  <c r="J13" i="3"/>
  <c r="I13" i="3"/>
  <c r="H13" i="3"/>
  <c r="G13" i="3"/>
  <c r="F13" i="3"/>
  <c r="E13" i="3"/>
  <c r="D13" i="3"/>
  <c r="D6" i="4"/>
  <c r="E5" i="4" s="1"/>
  <c r="F14" i="4" l="1"/>
  <c r="N7" i="3"/>
  <c r="E9" i="18" l="1"/>
  <c r="E8" i="18"/>
  <c r="D8" i="18"/>
  <c r="F9" i="18"/>
  <c r="F8" i="18"/>
  <c r="F7" i="18"/>
  <c r="E7" i="18"/>
  <c r="D7" i="18"/>
  <c r="D9" i="18"/>
  <c r="C8" i="18"/>
  <c r="C7" i="18"/>
  <c r="B9" i="18"/>
  <c r="B8" i="18"/>
  <c r="N8" i="3"/>
  <c r="L8" i="3"/>
  <c r="L6" i="3"/>
  <c r="K8" i="3"/>
  <c r="K7" i="3"/>
  <c r="K6" i="3"/>
  <c r="J7" i="3"/>
  <c r="J8" i="3"/>
  <c r="J6" i="3"/>
  <c r="G4" i="15"/>
  <c r="G3" i="15"/>
  <c r="G2" i="15"/>
  <c r="F3" i="15"/>
  <c r="F4" i="15"/>
  <c r="D3" i="15"/>
  <c r="D4" i="15"/>
  <c r="F2" i="15"/>
  <c r="D2" i="15"/>
  <c r="B3" i="15"/>
  <c r="B4" i="15"/>
  <c r="B2" i="15"/>
  <c r="I7" i="3"/>
  <c r="I8" i="3"/>
  <c r="H8" i="3"/>
  <c r="H7" i="3"/>
  <c r="H6" i="3"/>
  <c r="G8" i="3"/>
  <c r="G7" i="3"/>
  <c r="G6" i="3"/>
  <c r="F8" i="3"/>
  <c r="F7" i="3"/>
  <c r="F6" i="3"/>
  <c r="E8" i="3"/>
  <c r="E7" i="3"/>
  <c r="E6" i="3"/>
  <c r="C6" i="3"/>
  <c r="D6" i="3"/>
  <c r="C7" i="3"/>
  <c r="D7" i="3"/>
  <c r="C8" i="3"/>
  <c r="D8" i="3"/>
  <c r="B7" i="3"/>
  <c r="B8" i="3"/>
  <c r="B6" i="3"/>
  <c r="L5" i="14"/>
  <c r="L4" i="14"/>
  <c r="K5" i="14"/>
  <c r="K4" i="14"/>
  <c r="K3" i="14"/>
  <c r="I5" i="14"/>
  <c r="I4" i="14"/>
  <c r="I3" i="14"/>
  <c r="G5" i="14"/>
  <c r="G4" i="14"/>
  <c r="G3" i="14"/>
  <c r="L3" i="14" s="1"/>
  <c r="I6" i="3" s="1"/>
  <c r="C3" i="14"/>
  <c r="C4" i="14"/>
  <c r="F9" i="7"/>
  <c r="D9" i="7"/>
  <c r="G8" i="7"/>
  <c r="F8" i="7"/>
  <c r="E8" i="7"/>
  <c r="G7" i="7"/>
  <c r="E7" i="7"/>
  <c r="F7" i="7"/>
  <c r="G7" i="18" l="1"/>
  <c r="G8" i="18"/>
  <c r="H8" i="18" s="1"/>
  <c r="G9" i="18"/>
  <c r="B7" i="18"/>
  <c r="N6" i="3"/>
  <c r="H9" i="18"/>
  <c r="G9" i="7"/>
  <c r="H9" i="7" s="1"/>
  <c r="H60" i="2"/>
  <c r="G67" i="2" s="1"/>
  <c r="B9" i="7"/>
  <c r="C9" i="7" s="1"/>
  <c r="B8" i="7"/>
  <c r="C8" i="7" s="1"/>
  <c r="B7" i="7"/>
  <c r="C7" i="7" s="1"/>
  <c r="F69" i="2"/>
  <c r="F68" i="2"/>
  <c r="H7" i="18" l="1"/>
  <c r="J7" i="18" s="1"/>
  <c r="K9" i="18"/>
  <c r="I9" i="18"/>
  <c r="J9" i="18"/>
  <c r="K8" i="18"/>
  <c r="I8" i="18"/>
  <c r="J8" i="18"/>
  <c r="G68" i="2"/>
  <c r="G64" i="2"/>
  <c r="G70" i="2"/>
  <c r="G69" i="2"/>
  <c r="G63" i="2"/>
  <c r="G65" i="2"/>
  <c r="G66" i="2"/>
  <c r="I7" i="18" l="1"/>
  <c r="I10" i="18" s="1"/>
  <c r="K7" i="18"/>
  <c r="K10" i="18" s="1"/>
  <c r="J10" i="18"/>
  <c r="F70" i="2"/>
  <c r="F67" i="2"/>
  <c r="F66" i="2"/>
  <c r="F65" i="2"/>
  <c r="F64" i="2"/>
  <c r="F63" i="2"/>
  <c r="C60" i="2"/>
  <c r="C59" i="2"/>
  <c r="C58" i="2"/>
  <c r="H34" i="2"/>
  <c r="F46" i="2"/>
  <c r="F45" i="2"/>
  <c r="F44" i="2"/>
  <c r="F43" i="2"/>
  <c r="F42" i="2"/>
  <c r="F41" i="2"/>
  <c r="F40" i="2"/>
  <c r="F39" i="2"/>
  <c r="F38" i="2"/>
  <c r="C34" i="2"/>
  <c r="C33" i="2"/>
  <c r="C32" i="2"/>
  <c r="F12" i="2"/>
  <c r="I62" i="1"/>
  <c r="H62" i="1"/>
  <c r="H37" i="1"/>
  <c r="E34" i="1"/>
  <c r="D34" i="1"/>
  <c r="H13" i="1"/>
  <c r="M11" i="10"/>
  <c r="H68" i="2" l="1"/>
  <c r="H69" i="2"/>
  <c r="G42" i="2"/>
  <c r="G44" i="2"/>
  <c r="H70" i="2"/>
  <c r="G40" i="2"/>
  <c r="G41" i="2"/>
  <c r="H65" i="2"/>
  <c r="G43" i="2"/>
  <c r="H66" i="2"/>
  <c r="G37" i="2"/>
  <c r="G45" i="2"/>
  <c r="H63" i="2"/>
  <c r="G38" i="2"/>
  <c r="G46" i="2"/>
  <c r="H67" i="2"/>
  <c r="G39" i="2"/>
  <c r="H64" i="2"/>
  <c r="F71" i="2"/>
  <c r="H71" i="2" l="1"/>
  <c r="H7" i="2" l="1"/>
  <c r="G10" i="2" s="1"/>
  <c r="F19" i="2"/>
  <c r="F17" i="2"/>
  <c r="F20" i="2"/>
  <c r="F18" i="2"/>
  <c r="F16" i="2"/>
  <c r="F15" i="2"/>
  <c r="F11" i="2"/>
  <c r="F14" i="2"/>
  <c r="F13" i="2"/>
  <c r="C7" i="2"/>
  <c r="C5" i="2"/>
  <c r="C6" i="2"/>
  <c r="B8" i="5"/>
  <c r="C8" i="5"/>
  <c r="B9" i="5"/>
  <c r="C9" i="5"/>
  <c r="C7" i="5"/>
  <c r="B7" i="5"/>
  <c r="F58" i="1"/>
  <c r="C58" i="1"/>
  <c r="C59" i="1" s="1"/>
  <c r="C60" i="1" s="1"/>
  <c r="C61" i="1" s="1"/>
  <c r="C62" i="1" s="1"/>
  <c r="F34" i="1"/>
  <c r="C34" i="1"/>
  <c r="C35" i="1" s="1"/>
  <c r="C36" i="1" s="1"/>
  <c r="C37" i="1" s="1"/>
  <c r="J7" i="1"/>
  <c r="E59" i="1"/>
  <c r="E60" i="1" s="1"/>
  <c r="E61" i="1" s="1"/>
  <c r="E62" i="1" s="1"/>
  <c r="D59" i="1"/>
  <c r="D60" i="1" s="1"/>
  <c r="D61" i="1" s="1"/>
  <c r="D62" i="1" s="1"/>
  <c r="J55" i="1"/>
  <c r="E55" i="1"/>
  <c r="E53" i="1"/>
  <c r="B50" i="1"/>
  <c r="E35" i="1"/>
  <c r="E36" i="1" s="1"/>
  <c r="E37" i="1" s="1"/>
  <c r="E38" i="1" s="1"/>
  <c r="D35" i="1"/>
  <c r="D36" i="1" s="1"/>
  <c r="D37" i="1" s="1"/>
  <c r="D38" i="1" s="1"/>
  <c r="D39" i="1" s="1"/>
  <c r="J31" i="1"/>
  <c r="E31" i="1"/>
  <c r="E29" i="1"/>
  <c r="B26" i="1"/>
  <c r="E7" i="1"/>
  <c r="B2" i="1"/>
  <c r="D11" i="1"/>
  <c r="D12" i="1" s="1"/>
  <c r="D13" i="1" s="1"/>
  <c r="D14" i="1" s="1"/>
  <c r="D15" i="1" s="1"/>
  <c r="E11" i="1"/>
  <c r="E12" i="1" s="1"/>
  <c r="E13" i="1" s="1"/>
  <c r="E14" i="1" s="1"/>
  <c r="M10" i="10"/>
  <c r="L12" i="10"/>
  <c r="L11" i="10"/>
  <c r="L10" i="10"/>
  <c r="K12" i="10"/>
  <c r="K11" i="10"/>
  <c r="K10" i="10"/>
  <c r="F10" i="1"/>
  <c r="F11" i="1" s="1"/>
  <c r="F12" i="1" s="1"/>
  <c r="F13" i="1" s="1"/>
  <c r="F14" i="1" s="1"/>
  <c r="C10" i="1"/>
  <c r="C11" i="1" s="1"/>
  <c r="C12" i="1" s="1"/>
  <c r="C13" i="1" s="1"/>
  <c r="C14" i="1" s="1"/>
  <c r="C15" i="1" s="1"/>
  <c r="J5" i="1"/>
  <c r="E5" i="1" s="1"/>
  <c r="C38" i="1" l="1"/>
  <c r="C39" i="1" s="1"/>
  <c r="D37" i="2"/>
  <c r="F37" i="2" s="1"/>
  <c r="G12" i="2"/>
  <c r="H12" i="2" s="1"/>
  <c r="H46" i="2"/>
  <c r="H42" i="2"/>
  <c r="H41" i="2"/>
  <c r="H38" i="2"/>
  <c r="H45" i="2"/>
  <c r="H43" i="2"/>
  <c r="H44" i="2"/>
  <c r="H40" i="2"/>
  <c r="H39" i="2"/>
  <c r="G10" i="1"/>
  <c r="J10" i="1" s="1"/>
  <c r="G58" i="1"/>
  <c r="J58" i="1" s="1"/>
  <c r="H38" i="1"/>
  <c r="H41" i="1" s="1"/>
  <c r="G44" i="1" s="1"/>
  <c r="E8" i="5" s="1"/>
  <c r="D10" i="2"/>
  <c r="F10" i="2" s="1"/>
  <c r="G17" i="2"/>
  <c r="H17" i="2" s="1"/>
  <c r="G20" i="2"/>
  <c r="H20" i="2" s="1"/>
  <c r="G19" i="2"/>
  <c r="H19" i="2" s="1"/>
  <c r="G18" i="2"/>
  <c r="H18" i="2" s="1"/>
  <c r="G16" i="2"/>
  <c r="H16" i="2" s="1"/>
  <c r="G15" i="2"/>
  <c r="H15" i="2" s="1"/>
  <c r="G14" i="2"/>
  <c r="H14" i="2" s="1"/>
  <c r="G13" i="2"/>
  <c r="H13" i="2" s="1"/>
  <c r="G11" i="2"/>
  <c r="H11" i="2" s="1"/>
  <c r="H65" i="1"/>
  <c r="G68" i="1" s="1"/>
  <c r="E9" i="5" s="1"/>
  <c r="G34" i="1"/>
  <c r="J34" i="1" s="1"/>
  <c r="F59" i="1"/>
  <c r="F35" i="1"/>
  <c r="G13" i="1"/>
  <c r="J13" i="1" s="1"/>
  <c r="G14" i="1"/>
  <c r="G12" i="1"/>
  <c r="J12" i="1" s="1"/>
  <c r="G11" i="1"/>
  <c r="J11" i="1" s="1"/>
  <c r="H14" i="1"/>
  <c r="H17" i="1" s="1"/>
  <c r="G20" i="1" s="1"/>
  <c r="E7" i="5" s="1"/>
  <c r="I15" i="1"/>
  <c r="I17" i="1" s="1"/>
  <c r="G21" i="1" s="1"/>
  <c r="F7" i="5" s="1"/>
  <c r="F21" i="2" l="1"/>
  <c r="H7" i="7"/>
  <c r="H8" i="7"/>
  <c r="F47" i="2"/>
  <c r="H37" i="2"/>
  <c r="H47" i="2" s="1"/>
  <c r="H10" i="2"/>
  <c r="H21" i="2" s="1"/>
  <c r="F60" i="1"/>
  <c r="G59" i="1"/>
  <c r="F36" i="1"/>
  <c r="G35" i="1"/>
  <c r="J14" i="1"/>
  <c r="G17" i="1"/>
  <c r="G19" i="1" s="1"/>
  <c r="J15" i="1"/>
  <c r="G22" i="1" l="1"/>
  <c r="D7" i="5"/>
  <c r="G7" i="5" s="1"/>
  <c r="D7" i="7" s="1"/>
  <c r="J59" i="1"/>
  <c r="G60" i="1"/>
  <c r="J60" i="1" s="1"/>
  <c r="F61" i="1"/>
  <c r="J35" i="1"/>
  <c r="F37" i="1"/>
  <c r="G36" i="1"/>
  <c r="J36" i="1" s="1"/>
  <c r="J17" i="1"/>
  <c r="F62" i="1" l="1"/>
  <c r="G61" i="1"/>
  <c r="J61" i="1" s="1"/>
  <c r="F38" i="1"/>
  <c r="G37" i="1"/>
  <c r="J37" i="1" s="1"/>
  <c r="G62" i="1" l="1"/>
  <c r="J62" i="1" s="1"/>
  <c r="G38" i="1"/>
  <c r="I39" i="1"/>
  <c r="J63" i="1" l="1"/>
  <c r="J65" i="1" s="1"/>
  <c r="I65" i="1"/>
  <c r="G69" i="1" s="1"/>
  <c r="F9" i="5" s="1"/>
  <c r="G65" i="1"/>
  <c r="G67" i="1" s="1"/>
  <c r="D9" i="5" s="1"/>
  <c r="J39" i="1"/>
  <c r="I41" i="1"/>
  <c r="G45" i="1" s="1"/>
  <c r="F8" i="5" s="1"/>
  <c r="J38" i="1"/>
  <c r="G41" i="1"/>
  <c r="G43" i="1" s="1"/>
  <c r="D8" i="5" s="1"/>
  <c r="G8" i="5" l="1"/>
  <c r="D8" i="7" s="1"/>
  <c r="G9" i="5"/>
  <c r="G70" i="1"/>
  <c r="G46" i="1"/>
  <c r="J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tc={41C19C5F-E372-455C-A305-79F044762036}</author>
    <author>tc={BDB1E40E-EAE1-4C53-98FF-A74EA0CBDB97}</author>
    <author>tc={567C98DA-BA19-4A57-8334-E9B89FF6AB64}</author>
  </authors>
  <commentList>
    <comment ref="G17" authorId="0" shapeId="0" xr:uid="{41C19C5F-E372-455C-A305-79F04476203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H:mm:ss</t>
      </text>
    </comment>
    <comment ref="G41" authorId="1" shapeId="0" xr:uid="{BDB1E40E-EAE1-4C53-98FF-A74EA0CBDB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H:mm:ss</t>
      </text>
    </comment>
    <comment ref="G65" authorId="2" shapeId="0" xr:uid="{567C98DA-BA19-4A57-8334-E9B89FF6AB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H:mm:ss</t>
      </text>
    </comment>
  </commentList>
</comments>
</file>

<file path=xl/sharedStrings.xml><?xml version="1.0" encoding="utf-8"?>
<sst xmlns="http://schemas.openxmlformats.org/spreadsheetml/2006/main" count="339" uniqueCount="183">
  <si>
    <t>TARJETA RELOJ</t>
  </si>
  <si>
    <t>CÓDIGO</t>
  </si>
  <si>
    <t>JORNADA</t>
  </si>
  <si>
    <t>SEMANA</t>
  </si>
  <si>
    <t>MES</t>
  </si>
  <si>
    <t>FECHA</t>
  </si>
  <si>
    <t>ENTRADA</t>
  </si>
  <si>
    <t>SALIDA</t>
  </si>
  <si>
    <t>HORA JORNADA</t>
  </si>
  <si>
    <t>HORA SUPLEMENTARIAS</t>
  </si>
  <si>
    <t>TOTAL</t>
  </si>
  <si>
    <t>Resumen:</t>
  </si>
  <si>
    <t>Total jornada</t>
  </si>
  <si>
    <t>Total horas suplementarias</t>
  </si>
  <si>
    <t>Total horas extraordinarias</t>
  </si>
  <si>
    <t>Total horas</t>
  </si>
  <si>
    <t>NOMBRE DEL TRABAJADOR:</t>
  </si>
  <si>
    <t>EMPRESA INDUSTRIAL:_________________________________</t>
  </si>
  <si>
    <t>EMPRESA INDUSTRIAL ____________________________________</t>
  </si>
  <si>
    <t>TARJETA DE TIEMPO</t>
  </si>
  <si>
    <t>DEPARTAMENTO</t>
  </si>
  <si>
    <t>SALARIO POR HORA</t>
  </si>
  <si>
    <t>DETALLE</t>
  </si>
  <si>
    <t>HORA DE INICIO</t>
  </si>
  <si>
    <t>HORA DE TÉRMINO</t>
  </si>
  <si>
    <t>HORAS EMPLEADAS</t>
  </si>
  <si>
    <t>VALOR POR HORA</t>
  </si>
  <si>
    <t>VALOR TOTAL</t>
  </si>
  <si>
    <t>_____________________</t>
  </si>
  <si>
    <t>JEFE DE PRODUCCIÓN</t>
  </si>
  <si>
    <t>EMPRESA INDUSTRIAL: ____________________________</t>
  </si>
  <si>
    <t>NÓMINA DE PAGOS</t>
  </si>
  <si>
    <t>Nro.</t>
  </si>
  <si>
    <t xml:space="preserve">Nombres </t>
  </si>
  <si>
    <t>Cargo</t>
  </si>
  <si>
    <t>Salario</t>
  </si>
  <si>
    <t>Décimo Tercer Sueldo</t>
  </si>
  <si>
    <t>Décimo Cuarto Sueldo</t>
  </si>
  <si>
    <t>Aporte Patronal</t>
  </si>
  <si>
    <t>Horas Extras</t>
  </si>
  <si>
    <t>PERÍODO:</t>
  </si>
  <si>
    <t>Aporte Individual</t>
  </si>
  <si>
    <t>Préstamos al IESS</t>
  </si>
  <si>
    <t>Impuesto a la Renta</t>
  </si>
  <si>
    <t>Líquido a Pagar</t>
  </si>
  <si>
    <t>N</t>
  </si>
  <si>
    <t>ELABORADO</t>
  </si>
  <si>
    <t>APROBADO</t>
  </si>
  <si>
    <t>NOMBRES Y APELLIDOS</t>
  </si>
  <si>
    <t>CARGO</t>
  </si>
  <si>
    <t>FIRMA</t>
  </si>
  <si>
    <t>Fondos de Reserva</t>
  </si>
  <si>
    <t>PARCIAL</t>
  </si>
  <si>
    <t>DEBE</t>
  </si>
  <si>
    <t>HABER</t>
  </si>
  <si>
    <t xml:space="preserve"> ---------1----------</t>
  </si>
  <si>
    <t>1) Asiento para registrar la mano de obra directa (Nómina)</t>
  </si>
  <si>
    <t>Salarios</t>
  </si>
  <si>
    <t>MANO DE OBRA DIRECTA</t>
  </si>
  <si>
    <t>Horas Extras (Recargos excluidos)</t>
  </si>
  <si>
    <t>Subsidios</t>
  </si>
  <si>
    <t>Aporte Patronal IESS</t>
  </si>
  <si>
    <t>Decimo Tercer sueldo</t>
  </si>
  <si>
    <t>Décimo cuarto suedo</t>
  </si>
  <si>
    <t>Fondo de Reserva</t>
  </si>
  <si>
    <t>Vacaciones</t>
  </si>
  <si>
    <t xml:space="preserve">             IESS POR PAGAR</t>
  </si>
  <si>
    <t xml:space="preserve">             Aporte Individual por pagar</t>
  </si>
  <si>
    <t xml:space="preserve">             Aporte patronal por pagar</t>
  </si>
  <si>
    <t xml:space="preserve">             Préstamos por pagar</t>
  </si>
  <si>
    <t xml:space="preserve">             ANTICIPOS</t>
  </si>
  <si>
    <t xml:space="preserve">             PROVISIONES PATRONALES POR PAGAR</t>
  </si>
  <si>
    <t xml:space="preserve">             Vacaciones por pagar</t>
  </si>
  <si>
    <t xml:space="preserve">             BANCOS</t>
  </si>
  <si>
    <t>P/R la nómina del personal de producción del mes de _________</t>
  </si>
  <si>
    <t xml:space="preserve"> ---------2----------</t>
  </si>
  <si>
    <t>INVENTARIO DE PRODUCTOS EN PROCESO</t>
  </si>
  <si>
    <t xml:space="preserve">             MANO DE OBRA DIRECTA</t>
  </si>
  <si>
    <t>2) Asiento para registrar la transferencia de Mano de Obra Directa a Inventario de Productos en Proceso</t>
  </si>
  <si>
    <t>P/R transferencia de la nómina del mes de ___________</t>
  </si>
  <si>
    <r>
      <t xml:space="preserve">HORAS </t>
    </r>
    <r>
      <rPr>
        <b/>
        <sz val="9"/>
        <color theme="1"/>
        <rFont val="Times New Roman"/>
        <family val="1"/>
      </rPr>
      <t>EXTRAORDINARIAS</t>
    </r>
  </si>
  <si>
    <t>ORDEN DE PRODUCCIÓN NRO.</t>
  </si>
  <si>
    <t>______________________________________</t>
  </si>
  <si>
    <t>RESUMEN DE LAS TARJETAS RELOJ</t>
  </si>
  <si>
    <t>PERÍODO: _______________________________</t>
  </si>
  <si>
    <t>RESUMEN DE LAS TARJETAS DE TIEMPO</t>
  </si>
  <si>
    <t>TOTAL HORAS</t>
  </si>
  <si>
    <t>HORAS MANO DE OBRA DIRECTA</t>
  </si>
  <si>
    <t>HORAS TRABAJO INDIRECTO</t>
  </si>
  <si>
    <t>TIEMPO OCIOSO</t>
  </si>
  <si>
    <t>EJERCICIO 1 DE MANO DE OBRA</t>
  </si>
  <si>
    <t>EMPRESA INDUSTRIAL: "GMR"</t>
  </si>
  <si>
    <t>DATOS:</t>
  </si>
  <si>
    <t>Actividades Principales</t>
  </si>
  <si>
    <t>Horario de Entrada</t>
  </si>
  <si>
    <t>Horario de Salida</t>
  </si>
  <si>
    <t>Mantenimiento preventivo y correctivo de maquinaria</t>
  </si>
  <si>
    <t>Nombres y Apellidos</t>
  </si>
  <si>
    <t>Mano de Obra</t>
  </si>
  <si>
    <t>Directa</t>
  </si>
  <si>
    <t>Indirecta</t>
  </si>
  <si>
    <t>Sueldo</t>
  </si>
  <si>
    <t>DATOS ADICIONALES:</t>
  </si>
  <si>
    <t>Código</t>
  </si>
  <si>
    <t>012</t>
  </si>
  <si>
    <t>8 horas diarias</t>
  </si>
  <si>
    <t>MAYO</t>
  </si>
  <si>
    <t>Horas extras</t>
  </si>
  <si>
    <t>Suplementarias</t>
  </si>
  <si>
    <t>Extraordinarias</t>
  </si>
  <si>
    <t>Identificación</t>
  </si>
  <si>
    <t xml:space="preserve">TRABAJADOR   </t>
  </si>
  <si>
    <t>HORA DE ALMUERZO</t>
  </si>
  <si>
    <t>La Empresa Industrial dedicada a la fabricación de mochilas "FRABRICAR S.A" para el control de los trabajadores, dispone de las tarjetas - reloj y las tarjetas de tiempo; para lo cual se dispone de los siguientes trabajadores:</t>
  </si>
  <si>
    <t>Del 06 al 10 de mayo de 2024</t>
  </si>
  <si>
    <t>004</t>
  </si>
  <si>
    <t>008</t>
  </si>
  <si>
    <t>Gadvay Verónica</t>
  </si>
  <si>
    <t>Suarez Carlos</t>
  </si>
  <si>
    <t>Yambay Fernanda</t>
  </si>
  <si>
    <t>Cortador de tela</t>
  </si>
  <si>
    <t>Costurera</t>
  </si>
  <si>
    <t>Selecciona y prepara materiales, y corta telas y otros materiales según patrones</t>
  </si>
  <si>
    <t>Opera máquinas de coser para ensamblar las partes de la mochila, incluyendo el cuerpo, forro, bolsillos y correas</t>
  </si>
  <si>
    <t>La hora de almuerzo establecida en el Reglamento Interno de Trabajo es de 12h00 a 13h00</t>
  </si>
  <si>
    <t>Por disposición del Jefe de Producción se solicita la presencia de la Costurera y el Cortador de Tela de modo que laboren de 16h00 a 19h00 el jueves y viernes; a la vez el día sabado que trabajen de 7h00 a 12h00</t>
  </si>
  <si>
    <t>Técnico de Mantenimiento</t>
  </si>
  <si>
    <t>El Jefe de Producción le dispone al Técnico de Mantenimiento que acuda a la planta para el mantenimiento preventivo en horario de 04:00 a 08:00 el día viernes, a fin que esté lista para que puedan trabajar el fin de semana</t>
  </si>
  <si>
    <t>Jornada de capacitación para elaborar el producto: 06/05/2024</t>
  </si>
  <si>
    <t xml:space="preserve">Jornada normal: 06/05/2024 </t>
  </si>
  <si>
    <t>Reunión con el Jefe de Producción 06/05/2024</t>
  </si>
  <si>
    <t xml:space="preserve">Jornada normal: 07/05/2024 </t>
  </si>
  <si>
    <t>Jornada normal: 08/05/2024 corte de luz</t>
  </si>
  <si>
    <t xml:space="preserve">Jornada normal: 09/05/2024 </t>
  </si>
  <si>
    <t xml:space="preserve">Jornada normal: 08/05/2024 </t>
  </si>
  <si>
    <t xml:space="preserve">horas suplementaria: 09/05/2024 </t>
  </si>
  <si>
    <t xml:space="preserve">Jornada normal: 10/05/2024 </t>
  </si>
  <si>
    <t xml:space="preserve">horas suplementaria: 10/05/2024 </t>
  </si>
  <si>
    <t xml:space="preserve">Jornada extra: 11/05/2024 </t>
  </si>
  <si>
    <t xml:space="preserve">Jornada extra: 10/05/2024 </t>
  </si>
  <si>
    <t>El horario laboral establecido para la Costurera y el Cortador de tela es de lunes a viernes de 7:00 a 16:00; mientras que el horario establecido para el Técnico de Mantenimiento es de 8:00 a 17:00</t>
  </si>
  <si>
    <t>Para las tarjetas de tiempo considere los siguientes supuestos:</t>
  </si>
  <si>
    <t>Únicamente se está trabajando en la Orden de Producción 1:</t>
  </si>
  <si>
    <t xml:space="preserve">	SUBSIDIO FAMILIAR.- </t>
  </si>
  <si>
    <t>SUBSIDIO DE ANTIGUEDAD</t>
  </si>
  <si>
    <t>SERVICIO DE ALIMENTACION</t>
  </si>
  <si>
    <t>SERVICIO DE TRANSPORTE</t>
  </si>
  <si>
    <t>1% DEL SBU</t>
  </si>
  <si>
    <t>Gadvay Verónica tiene 1 hijo de 18 años y otro de 15 años</t>
  </si>
  <si>
    <t>Suarez Carlos tiene 1 hijo de 20 años discapacitado</t>
  </si>
  <si>
    <t>0.25% de la RMU</t>
  </si>
  <si>
    <t>ingresó el 01/01/2022</t>
  </si>
  <si>
    <t>ingresó el 01/01/2023</t>
  </si>
  <si>
    <t>ingresó el 01/01/2019</t>
  </si>
  <si>
    <t>Laboró 20 días</t>
  </si>
  <si>
    <t>Por cada día laborado</t>
  </si>
  <si>
    <t>Laboró 18 días y 2 salió de vacaciones</t>
  </si>
  <si>
    <t>TOTAL SUBSIDIOS</t>
  </si>
  <si>
    <t>Horas suplementarias</t>
  </si>
  <si>
    <t>Horas extraordinarias</t>
  </si>
  <si>
    <t>Total de horas extras</t>
  </si>
  <si>
    <t>Préstamos Quirografario</t>
  </si>
  <si>
    <t>Préstamo Hipotecario</t>
  </si>
  <si>
    <t>Total ingresos</t>
  </si>
  <si>
    <t>Horas MOD</t>
  </si>
  <si>
    <t>Horas MOI</t>
  </si>
  <si>
    <t>Horas ociosas</t>
  </si>
  <si>
    <t>Total de horas</t>
  </si>
  <si>
    <t>Costo hora hombre</t>
  </si>
  <si>
    <t>Fines de semana</t>
  </si>
  <si>
    <t>Costo que se carga a la Orden de Producción</t>
  </si>
  <si>
    <t>MOD</t>
  </si>
  <si>
    <t>CIF</t>
  </si>
  <si>
    <t>Gasto</t>
  </si>
  <si>
    <t>PÉRDIDA EN GESTIÓN DE RECURSOS HUMANOS</t>
  </si>
  <si>
    <t>NOMBRES</t>
  </si>
  <si>
    <t>HORAS DE PRODUCCIÓN</t>
  </si>
  <si>
    <t>HORAS OCIOSAS / IMPRODUCTIVAS</t>
  </si>
  <si>
    <t>Costos de horas ociosas</t>
  </si>
  <si>
    <t>EMPRESA INDUSTRIAL: ________________________________</t>
  </si>
  <si>
    <t>ASIGNACIÓN DE COSTOS</t>
  </si>
  <si>
    <t>MES: ________________________</t>
  </si>
  <si>
    <t xml:space="preserve">             MANO DE OBRA INDIRECTA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</si>
</sst>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D0D0D"/>
      <name val="Times New Roman"/>
      <family val="1"/>
    </font>
    <font>
      <b/>
      <sz val="10"/>
      <color rgb="FF0D0D0D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3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/>
    <xf numFmtId="10" fontId="0" fillId="2" borderId="0" xfId="1" applyNumberFormat="1" applyFont="1" applyFill="1"/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20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43" fontId="2" fillId="2" borderId="0" xfId="2" applyFont="1" applyFill="1" applyAlignment="1">
      <alignment vertical="center"/>
    </xf>
    <xf numFmtId="43" fontId="7" fillId="2" borderId="1" xfId="2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0" xfId="0" applyNumberFormat="1" applyFont="1" applyFill="1"/>
    <xf numFmtId="20" fontId="2" fillId="2" borderId="1" xfId="0" applyNumberFormat="1" applyFont="1" applyFill="1" applyBorder="1"/>
    <xf numFmtId="20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/>
    <xf numFmtId="46" fontId="2" fillId="2" borderId="1" xfId="0" applyNumberFormat="1" applyFont="1" applyFill="1" applyBorder="1"/>
    <xf numFmtId="20" fontId="2" fillId="2" borderId="13" xfId="0" applyNumberFormat="1" applyFont="1" applyFill="1" applyBorder="1"/>
    <xf numFmtId="49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wrapText="1"/>
    </xf>
    <xf numFmtId="43" fontId="2" fillId="2" borderId="1" xfId="2" applyFont="1" applyFill="1" applyBorder="1"/>
    <xf numFmtId="43" fontId="2" fillId="2" borderId="1" xfId="0" applyNumberFormat="1" applyFont="1" applyFill="1" applyBorder="1"/>
    <xf numFmtId="0" fontId="10" fillId="0" borderId="0" xfId="0" applyFont="1"/>
    <xf numFmtId="43" fontId="10" fillId="0" borderId="0" xfId="2" applyFont="1"/>
    <xf numFmtId="43" fontId="0" fillId="0" borderId="0" xfId="0" applyNumberFormat="1"/>
    <xf numFmtId="43" fontId="0" fillId="0" borderId="0" xfId="2" applyFont="1"/>
    <xf numFmtId="43" fontId="10" fillId="0" borderId="0" xfId="0" applyNumberFormat="1" applyFont="1"/>
    <xf numFmtId="0" fontId="9" fillId="0" borderId="0" xfId="0" applyFont="1"/>
    <xf numFmtId="43" fontId="2" fillId="2" borderId="1" xfId="2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43" fontId="2" fillId="2" borderId="0" xfId="0" applyNumberFormat="1" applyFont="1" applyFill="1" applyAlignment="1">
      <alignment horizontal="center"/>
    </xf>
    <xf numFmtId="2" fontId="0" fillId="0" borderId="0" xfId="0" applyNumberFormat="1"/>
    <xf numFmtId="43" fontId="3" fillId="2" borderId="1" xfId="2" applyFont="1" applyFill="1" applyBorder="1" applyAlignment="1">
      <alignment horizontal="center" vertical="center" wrapText="1"/>
    </xf>
    <xf numFmtId="43" fontId="2" fillId="2" borderId="0" xfId="2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43" fontId="11" fillId="2" borderId="0" xfId="2" applyFont="1" applyFill="1" applyAlignment="1">
      <alignment wrapText="1"/>
    </xf>
    <xf numFmtId="13" fontId="11" fillId="2" borderId="0" xfId="2" applyNumberFormat="1" applyFont="1" applyFill="1" applyAlignment="1">
      <alignment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11" fillId="2" borderId="1" xfId="0" applyNumberFormat="1" applyFont="1" applyFill="1" applyBorder="1" applyAlignment="1">
      <alignment vertical="center" wrapText="1"/>
    </xf>
    <xf numFmtId="43" fontId="11" fillId="2" borderId="1" xfId="2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3" fontId="12" fillId="4" borderId="1" xfId="2" applyFont="1" applyFill="1" applyBorder="1" applyAlignment="1">
      <alignment horizontal="center" vertical="center" wrapText="1"/>
    </xf>
    <xf numFmtId="43" fontId="12" fillId="4" borderId="1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3" fontId="2" fillId="2" borderId="1" xfId="2" quotePrefix="1" applyFont="1" applyFill="1" applyBorder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24</xdr:row>
      <xdr:rowOff>44449</xdr:rowOff>
    </xdr:from>
    <xdr:to>
      <xdr:col>5</xdr:col>
      <xdr:colOff>158750</xdr:colOff>
      <xdr:row>41</xdr:row>
      <xdr:rowOff>67410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722C64-C8EA-1C29-DF15-BEC562CC2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197599"/>
          <a:ext cx="3003550" cy="2829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323850</xdr:colOff>
      <xdr:row>24</xdr:row>
      <xdr:rowOff>107950</xdr:rowOff>
    </xdr:from>
    <xdr:to>
      <xdr:col>10</xdr:col>
      <xdr:colOff>57150</xdr:colOff>
      <xdr:row>41</xdr:row>
      <xdr:rowOff>12700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2921F7-C6CE-7E17-505B-904A7008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6261100"/>
          <a:ext cx="3562350" cy="271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110546</xdr:colOff>
      <xdr:row>24</xdr:row>
      <xdr:rowOff>88900</xdr:rowOff>
    </xdr:from>
    <xdr:to>
      <xdr:col>14</xdr:col>
      <xdr:colOff>12700</xdr:colOff>
      <xdr:row>36</xdr:row>
      <xdr:rowOff>69850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F1066D5-2054-F5CF-83A0-188BB7AD9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7096" y="6242050"/>
          <a:ext cx="3223204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INTYA LISBETH TELLO NUÑEZ" id="{91AECE89-3FBA-47B2-99E9-38D5D5AA0EBA}" userId="S::cintya.tello@unach.edu.ec::84ca76d4-abc7-4b7d-8eec-4391ffeef9d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7" dT="2024-05-21T02:49:19.16" personId="{91AECE89-3FBA-47B2-99E9-38D5D5AA0EBA}" id="{41C19C5F-E372-455C-A305-79F044762036}">
    <text>H:mm:ss</text>
  </threadedComment>
  <threadedComment ref="G41" dT="2024-05-21T02:49:19.16" personId="{91AECE89-3FBA-47B2-99E9-38D5D5AA0EBA}" id="{BDB1E40E-EAE1-4C53-98FF-A74EA0CBDB97}">
    <text>H:mm:ss</text>
  </threadedComment>
  <threadedComment ref="G65" dT="2024-05-21T02:49:19.16" personId="{91AECE89-3FBA-47B2-99E9-38D5D5AA0EBA}" id="{567C98DA-BA19-4A57-8334-E9B89FF6AB64}">
    <text>H:mm:ss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EFBB-6FA7-4B16-AED4-4409458698ED}">
  <dimension ref="A1:N24"/>
  <sheetViews>
    <sheetView topLeftCell="A4" workbookViewId="0">
      <selection activeCell="A5" sqref="A5"/>
    </sheetView>
  </sheetViews>
  <sheetFormatPr baseColWidth="10" defaultRowHeight="13" x14ac:dyDescent="0.35"/>
  <cols>
    <col min="1" max="1" width="4.54296875" style="7" customWidth="1"/>
    <col min="2" max="2" width="8.81640625" style="7" customWidth="1"/>
    <col min="3" max="3" width="9.08984375" style="7" customWidth="1"/>
    <col min="4" max="4" width="6.54296875" style="33" customWidth="1"/>
    <col min="5" max="5" width="11.90625" style="7" bestFit="1" customWidth="1"/>
    <col min="6" max="6" width="21.90625" style="7" customWidth="1"/>
    <col min="7" max="7" width="10.90625" style="7"/>
    <col min="8" max="8" width="11.453125" style="7" customWidth="1"/>
    <col min="9" max="10" width="5.26953125" style="7" bestFit="1" customWidth="1"/>
    <col min="11" max="12" width="11.08984375" style="7" bestFit="1" customWidth="1"/>
    <col min="13" max="13" width="12.54296875" style="7" bestFit="1" customWidth="1"/>
    <col min="14" max="14" width="12.81640625" style="7" bestFit="1" customWidth="1"/>
    <col min="15" max="16384" width="10.90625" style="7"/>
  </cols>
  <sheetData>
    <row r="1" spans="1:14" ht="17.5" x14ac:dyDescent="0.35">
      <c r="A1" s="61" t="s">
        <v>91</v>
      </c>
      <c r="B1" s="61"/>
      <c r="C1" s="61"/>
      <c r="D1" s="61"/>
      <c r="E1" s="61"/>
      <c r="F1" s="61"/>
      <c r="G1" s="61"/>
      <c r="H1" s="61"/>
    </row>
    <row r="2" spans="1:14" ht="17.5" x14ac:dyDescent="0.35">
      <c r="A2" s="61" t="s">
        <v>90</v>
      </c>
      <c r="B2" s="61"/>
      <c r="C2" s="61"/>
      <c r="D2" s="61"/>
      <c r="E2" s="61"/>
      <c r="F2" s="61"/>
      <c r="G2" s="61"/>
      <c r="H2" s="61"/>
    </row>
    <row r="4" spans="1:14" ht="33.5" customHeight="1" x14ac:dyDescent="0.35">
      <c r="A4" s="63" t="s">
        <v>113</v>
      </c>
      <c r="B4" s="63"/>
      <c r="C4" s="63"/>
      <c r="D4" s="63"/>
      <c r="E4" s="63"/>
      <c r="F4" s="63"/>
    </row>
    <row r="6" spans="1:14" x14ac:dyDescent="0.35">
      <c r="A6" s="62" t="s">
        <v>92</v>
      </c>
      <c r="B6" s="62"/>
    </row>
    <row r="7" spans="1:14" x14ac:dyDescent="0.35">
      <c r="A7" s="25" t="s">
        <v>4</v>
      </c>
      <c r="C7" s="32" t="s">
        <v>106</v>
      </c>
    </row>
    <row r="8" spans="1:14" ht="13" customHeight="1" x14ac:dyDescent="0.3">
      <c r="A8" s="25" t="s">
        <v>3</v>
      </c>
      <c r="C8" s="66" t="s">
        <v>114</v>
      </c>
      <c r="D8" s="66"/>
      <c r="E8" s="66"/>
    </row>
    <row r="9" spans="1:14" s="25" customFormat="1" ht="39" x14ac:dyDescent="0.35">
      <c r="A9" s="30" t="s">
        <v>103</v>
      </c>
      <c r="B9" s="30" t="s">
        <v>97</v>
      </c>
      <c r="C9" s="31" t="s">
        <v>34</v>
      </c>
      <c r="D9" s="34" t="s">
        <v>101</v>
      </c>
      <c r="E9" s="31" t="s">
        <v>98</v>
      </c>
      <c r="F9" s="31" t="s">
        <v>93</v>
      </c>
      <c r="G9" s="31" t="s">
        <v>94</v>
      </c>
      <c r="H9" s="31" t="s">
        <v>95</v>
      </c>
      <c r="I9" s="60" t="s">
        <v>107</v>
      </c>
      <c r="J9" s="60"/>
      <c r="K9" s="60" t="s">
        <v>110</v>
      </c>
      <c r="L9" s="60"/>
      <c r="M9" s="8" t="s">
        <v>108</v>
      </c>
      <c r="N9" s="8" t="s">
        <v>109</v>
      </c>
    </row>
    <row r="10" spans="1:14" ht="65" x14ac:dyDescent="0.3">
      <c r="A10" s="36" t="s">
        <v>115</v>
      </c>
      <c r="B10" s="29" t="s">
        <v>117</v>
      </c>
      <c r="C10" s="27" t="s">
        <v>121</v>
      </c>
      <c r="D10" s="35">
        <v>460</v>
      </c>
      <c r="E10" s="27" t="s">
        <v>99</v>
      </c>
      <c r="F10" s="27" t="s">
        <v>123</v>
      </c>
      <c r="G10" s="28">
        <v>0.29166666666666669</v>
      </c>
      <c r="H10" s="28">
        <v>0.66666666666666663</v>
      </c>
      <c r="I10" s="39">
        <v>0.66666666666666663</v>
      </c>
      <c r="J10" s="39">
        <v>0.79166666666666663</v>
      </c>
      <c r="K10" s="26" t="str">
        <f t="shared" ref="K10:L12" si="0">IF(ISBLANK(I10), "0", IF(AND(HOUR(I10)&gt;=0, HOUR(I10)&lt;6), "Extraordinaria", "Suplementaria"))</f>
        <v>Suplementaria</v>
      </c>
      <c r="L10" s="26" t="str">
        <f t="shared" si="0"/>
        <v>Suplementaria</v>
      </c>
      <c r="M10" s="38">
        <f>+J10-I10</f>
        <v>0.125</v>
      </c>
      <c r="N10" s="26"/>
    </row>
    <row r="11" spans="1:14" ht="52" x14ac:dyDescent="0.3">
      <c r="A11" s="36" t="s">
        <v>116</v>
      </c>
      <c r="B11" s="29" t="s">
        <v>118</v>
      </c>
      <c r="C11" s="27" t="s">
        <v>120</v>
      </c>
      <c r="D11" s="35">
        <v>550</v>
      </c>
      <c r="E11" s="27" t="s">
        <v>99</v>
      </c>
      <c r="F11" s="27" t="s">
        <v>122</v>
      </c>
      <c r="G11" s="28">
        <v>0.29166666666666669</v>
      </c>
      <c r="H11" s="28">
        <v>0.66666666666666663</v>
      </c>
      <c r="I11" s="39">
        <v>0.66666666666666663</v>
      </c>
      <c r="J11" s="39">
        <v>0.79166666666666663</v>
      </c>
      <c r="K11" s="26" t="str">
        <f t="shared" si="0"/>
        <v>Suplementaria</v>
      </c>
      <c r="L11" s="26" t="str">
        <f t="shared" si="0"/>
        <v>Suplementaria</v>
      </c>
      <c r="M11" s="38">
        <f>+J11-I11</f>
        <v>0.125</v>
      </c>
      <c r="N11" s="26"/>
    </row>
    <row r="12" spans="1:14" ht="39" x14ac:dyDescent="0.3">
      <c r="A12" s="36" t="s">
        <v>104</v>
      </c>
      <c r="B12" s="29" t="s">
        <v>119</v>
      </c>
      <c r="C12" s="27" t="s">
        <v>126</v>
      </c>
      <c r="D12" s="35">
        <v>800</v>
      </c>
      <c r="E12" s="27" t="s">
        <v>100</v>
      </c>
      <c r="F12" s="27" t="s">
        <v>96</v>
      </c>
      <c r="G12" s="28">
        <v>0.33333333333333331</v>
      </c>
      <c r="H12" s="28">
        <v>0.70833333333333337</v>
      </c>
      <c r="I12" s="39">
        <v>0.16666666666666666</v>
      </c>
      <c r="J12" s="39">
        <v>0.33333333333333331</v>
      </c>
      <c r="K12" s="26" t="str">
        <f t="shared" si="0"/>
        <v>Extraordinaria</v>
      </c>
      <c r="L12" s="26" t="str">
        <f t="shared" si="0"/>
        <v>Suplementaria</v>
      </c>
      <c r="M12" s="38">
        <v>8.3333333333333329E-2</v>
      </c>
      <c r="N12" s="38">
        <v>8.3333333333333329E-2</v>
      </c>
    </row>
    <row r="14" spans="1:14" x14ac:dyDescent="0.35">
      <c r="A14" s="67" t="s">
        <v>102</v>
      </c>
      <c r="B14" s="67"/>
      <c r="C14" s="67"/>
    </row>
    <row r="15" spans="1:14" x14ac:dyDescent="0.35">
      <c r="A15" s="65" t="s">
        <v>124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spans="1:14" ht="13" customHeight="1" x14ac:dyDescent="0.35">
      <c r="A16" s="64" t="s">
        <v>140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1" x14ac:dyDescent="0.35">
      <c r="A17" s="7" t="s">
        <v>125</v>
      </c>
    </row>
    <row r="18" spans="1:11" x14ac:dyDescent="0.35">
      <c r="A18" s="7" t="s">
        <v>127</v>
      </c>
    </row>
    <row r="20" spans="1:11" x14ac:dyDescent="0.35">
      <c r="A20" s="7" t="s">
        <v>141</v>
      </c>
    </row>
    <row r="22" spans="1:11" x14ac:dyDescent="0.35">
      <c r="A22" s="7" t="s">
        <v>142</v>
      </c>
    </row>
    <row r="24" spans="1:11" x14ac:dyDescent="0.3">
      <c r="A24" s="59" t="s">
        <v>117</v>
      </c>
      <c r="B24" s="59"/>
      <c r="G24" s="7" t="s">
        <v>118</v>
      </c>
      <c r="K24" s="7" t="s">
        <v>119</v>
      </c>
    </row>
  </sheetData>
  <autoFilter ref="A9:H12" xr:uid="{B925EFBB-6FA7-4B16-AED4-4409458698ED}">
    <sortState xmlns:xlrd2="http://schemas.microsoft.com/office/spreadsheetml/2017/richdata2" ref="A10:H12">
      <sortCondition ref="B9:B12"/>
    </sortState>
  </autoFilter>
  <mergeCells count="11">
    <mergeCell ref="A24:B24"/>
    <mergeCell ref="K9:L9"/>
    <mergeCell ref="A1:H1"/>
    <mergeCell ref="A2:H2"/>
    <mergeCell ref="A6:B6"/>
    <mergeCell ref="A4:F4"/>
    <mergeCell ref="I9:J9"/>
    <mergeCell ref="A16:N16"/>
    <mergeCell ref="A15:K15"/>
    <mergeCell ref="C8:E8"/>
    <mergeCell ref="A14:C14"/>
  </mergeCells>
  <pageMargins left="0.7" right="0.7" top="0.75" bottom="0.75" header="0.3" footer="0.3"/>
  <pageSetup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79D60-DB08-484F-A766-FDBD758CF32E}">
  <dimension ref="A1:K22"/>
  <sheetViews>
    <sheetView workbookViewId="0">
      <selection activeCell="H13" sqref="H13"/>
    </sheetView>
  </sheetViews>
  <sheetFormatPr baseColWidth="10" defaultRowHeight="14" x14ac:dyDescent="0.3"/>
  <cols>
    <col min="1" max="1" width="13.81640625" style="82" bestFit="1" customWidth="1"/>
    <col min="2" max="2" width="12.08984375" style="82" bestFit="1" customWidth="1"/>
    <col min="3" max="3" width="10.1796875" style="82" bestFit="1" customWidth="1"/>
    <col min="4" max="4" width="9.36328125" style="82" bestFit="1" customWidth="1"/>
    <col min="5" max="5" width="12.36328125" style="82" bestFit="1" customWidth="1"/>
    <col min="6" max="6" width="14.453125" style="82" bestFit="1" customWidth="1"/>
    <col min="7" max="7" width="12.1796875" style="82" bestFit="1" customWidth="1"/>
    <col min="8" max="8" width="17.6328125" style="83" bestFit="1" customWidth="1"/>
    <col min="9" max="11" width="11.36328125" style="83" bestFit="1" customWidth="1"/>
    <col min="12" max="16384" width="10.90625" style="82"/>
  </cols>
  <sheetData>
    <row r="1" spans="1:11" x14ac:dyDescent="0.3">
      <c r="A1" s="85" t="s">
        <v>179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x14ac:dyDescent="0.3">
      <c r="A2" s="85" t="s">
        <v>180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x14ac:dyDescent="0.3">
      <c r="A3" s="85" t="s">
        <v>181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1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58" customHeight="1" x14ac:dyDescent="0.3">
      <c r="A5" s="94" t="s">
        <v>175</v>
      </c>
      <c r="B5" s="94" t="s">
        <v>163</v>
      </c>
      <c r="C5" s="94" t="s">
        <v>176</v>
      </c>
      <c r="D5" s="94"/>
      <c r="E5" s="94" t="s">
        <v>177</v>
      </c>
      <c r="F5" s="94"/>
      <c r="G5" s="94" t="s">
        <v>167</v>
      </c>
      <c r="H5" s="95" t="s">
        <v>168</v>
      </c>
      <c r="I5" s="95" t="s">
        <v>170</v>
      </c>
      <c r="J5" s="95"/>
      <c r="K5" s="96" t="s">
        <v>178</v>
      </c>
    </row>
    <row r="6" spans="1:11" ht="28" x14ac:dyDescent="0.3">
      <c r="A6" s="94"/>
      <c r="B6" s="94"/>
      <c r="C6" s="97" t="s">
        <v>164</v>
      </c>
      <c r="D6" s="97" t="s">
        <v>165</v>
      </c>
      <c r="E6" s="97" t="s">
        <v>166</v>
      </c>
      <c r="F6" s="97" t="s">
        <v>169</v>
      </c>
      <c r="G6" s="94"/>
      <c r="H6" s="95"/>
      <c r="I6" s="96" t="s">
        <v>171</v>
      </c>
      <c r="J6" s="96" t="s">
        <v>172</v>
      </c>
      <c r="K6" s="96" t="s">
        <v>173</v>
      </c>
    </row>
    <row r="7" spans="1:11" x14ac:dyDescent="0.3">
      <c r="A7" s="88" t="s">
        <v>117</v>
      </c>
      <c r="B7" s="89">
        <f>+NÓMINA!D6+NÓMINA!F6+NÓMINA!G6+NÓMINA!H6+NÓMINA!I6+NÓMINA!J6</f>
        <v>701.75133333333326</v>
      </c>
      <c r="C7" s="87">
        <f>44*4</f>
        <v>176</v>
      </c>
      <c r="D7" s="87">
        <f>2*4</f>
        <v>8</v>
      </c>
      <c r="E7" s="87">
        <f>5*4</f>
        <v>20</v>
      </c>
      <c r="F7" s="87">
        <f>8*8</f>
        <v>64</v>
      </c>
      <c r="G7" s="87">
        <f>+SUM(C7:F7)</f>
        <v>268</v>
      </c>
      <c r="H7" s="90">
        <f>+B7/G7</f>
        <v>2.6184751243781093</v>
      </c>
      <c r="I7" s="90">
        <f>+H7*C7</f>
        <v>460.85162189054722</v>
      </c>
      <c r="J7" s="90">
        <f>+H7*D7</f>
        <v>20.947800995024874</v>
      </c>
      <c r="K7" s="90">
        <f>+H7*(E7+F7)</f>
        <v>219.95191044776118</v>
      </c>
    </row>
    <row r="8" spans="1:11" x14ac:dyDescent="0.3">
      <c r="A8" s="88" t="s">
        <v>118</v>
      </c>
      <c r="B8" s="89">
        <f>+NÓMINA!D7+NÓMINA!F7+NÓMINA!G7+NÓMINA!H7+NÓMINA!I7+NÓMINA!J7</f>
        <v>809.49833333333345</v>
      </c>
      <c r="C8" s="87">
        <f>45*4</f>
        <v>180</v>
      </c>
      <c r="D8" s="87">
        <f>2*4</f>
        <v>8</v>
      </c>
      <c r="E8" s="87">
        <f>4*4</f>
        <v>16</v>
      </c>
      <c r="F8" s="87">
        <f t="shared" ref="F8:F9" si="0">8*8</f>
        <v>64</v>
      </c>
      <c r="G8" s="87">
        <f>+SUM(C8:F8)</f>
        <v>268</v>
      </c>
      <c r="H8" s="90">
        <f>+B8/G8</f>
        <v>3.0205161691542295</v>
      </c>
      <c r="I8" s="90">
        <f t="shared" ref="I8:I9" si="1">+H8*C8</f>
        <v>543.69291044776128</v>
      </c>
      <c r="J8" s="90">
        <f t="shared" ref="J8:J9" si="2">+H8*D8</f>
        <v>24.164129353233836</v>
      </c>
      <c r="K8" s="90">
        <f>+H8*(E8+F8)</f>
        <v>241.64129353233835</v>
      </c>
    </row>
    <row r="9" spans="1:11" x14ac:dyDescent="0.3">
      <c r="A9" s="88" t="s">
        <v>119</v>
      </c>
      <c r="B9" s="89">
        <f>+NÓMINA!D8+NÓMINA!F8+NÓMINA!G8+NÓMINA!H8+NÓMINA!I8+NÓMINA!J8</f>
        <v>1076.9733333333331</v>
      </c>
      <c r="C9" s="87"/>
      <c r="D9" s="87">
        <f>41*4</f>
        <v>164</v>
      </c>
      <c r="E9" s="87">
        <f>3*4</f>
        <v>12</v>
      </c>
      <c r="F9" s="87">
        <f t="shared" si="0"/>
        <v>64</v>
      </c>
      <c r="G9" s="87">
        <f t="shared" ref="G9" si="3">+SUM(C9:F9)</f>
        <v>240</v>
      </c>
      <c r="H9" s="90">
        <f>+B9/G9</f>
        <v>4.487388888888888</v>
      </c>
      <c r="I9" s="90">
        <f t="shared" si="1"/>
        <v>0</v>
      </c>
      <c r="J9" s="90">
        <f t="shared" si="2"/>
        <v>735.9317777777776</v>
      </c>
      <c r="K9" s="90">
        <f t="shared" ref="K9" si="4">+H9*(E9+F9)</f>
        <v>341.04155555555548</v>
      </c>
    </row>
    <row r="10" spans="1:11" x14ac:dyDescent="0.3">
      <c r="A10" s="91" t="s">
        <v>10</v>
      </c>
      <c r="B10" s="92"/>
      <c r="C10" s="92"/>
      <c r="D10" s="92"/>
      <c r="E10" s="92"/>
      <c r="F10" s="92"/>
      <c r="G10" s="92"/>
      <c r="H10" s="93"/>
      <c r="I10" s="90">
        <f>+I8+I7+I9</f>
        <v>1004.5445323383085</v>
      </c>
      <c r="J10" s="90">
        <f t="shared" ref="J10:K10" si="5">+J8+J7+J9</f>
        <v>781.04370812603634</v>
      </c>
      <c r="K10" s="90">
        <f t="shared" si="5"/>
        <v>802.63475953565501</v>
      </c>
    </row>
    <row r="22" spans="8:8" x14ac:dyDescent="0.3">
      <c r="H22" s="84">
        <v>6</v>
      </c>
    </row>
  </sheetData>
  <mergeCells count="11">
    <mergeCell ref="I5:J5"/>
    <mergeCell ref="A1:K1"/>
    <mergeCell ref="A2:K2"/>
    <mergeCell ref="A3:K3"/>
    <mergeCell ref="A10:H10"/>
    <mergeCell ref="A5:A6"/>
    <mergeCell ref="B5:B6"/>
    <mergeCell ref="C5:D5"/>
    <mergeCell ref="E5:F5"/>
    <mergeCell ref="G5:G6"/>
    <mergeCell ref="H5: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6890E-1D65-4707-A58F-813615A41113}">
  <dimension ref="A1:F31"/>
  <sheetViews>
    <sheetView tabSelected="1" topLeftCell="A16" workbookViewId="0">
      <selection activeCell="E27" sqref="E27"/>
    </sheetView>
  </sheetViews>
  <sheetFormatPr baseColWidth="10" defaultRowHeight="13" x14ac:dyDescent="0.3"/>
  <cols>
    <col min="1" max="1" width="7.90625" style="1" customWidth="1"/>
    <col min="2" max="2" width="8.54296875" style="1" bestFit="1" customWidth="1"/>
    <col min="3" max="3" width="46.1796875" style="1" customWidth="1"/>
    <col min="4" max="4" width="9.08984375" style="1" bestFit="1" customWidth="1"/>
    <col min="5" max="6" width="8.453125" style="1" bestFit="1" customWidth="1"/>
    <col min="7" max="16384" width="10.90625" style="1"/>
  </cols>
  <sheetData>
    <row r="1" spans="1:6" ht="22" customHeight="1" x14ac:dyDescent="0.3">
      <c r="A1" s="62" t="s">
        <v>56</v>
      </c>
      <c r="B1" s="62"/>
      <c r="C1" s="62"/>
      <c r="D1" s="62"/>
      <c r="E1" s="62"/>
      <c r="F1" s="62"/>
    </row>
    <row r="3" spans="1:6" x14ac:dyDescent="0.3">
      <c r="A3" s="11" t="s">
        <v>5</v>
      </c>
      <c r="B3" s="11" t="s">
        <v>1</v>
      </c>
      <c r="C3" s="12" t="s">
        <v>22</v>
      </c>
      <c r="D3" s="11" t="s">
        <v>52</v>
      </c>
      <c r="E3" s="11" t="s">
        <v>53</v>
      </c>
      <c r="F3" s="11" t="s">
        <v>54</v>
      </c>
    </row>
    <row r="4" spans="1:6" x14ac:dyDescent="0.3">
      <c r="A4" s="5"/>
      <c r="B4" s="5"/>
      <c r="C4" s="6" t="s">
        <v>55</v>
      </c>
      <c r="D4" s="45"/>
      <c r="E4" s="45"/>
      <c r="F4" s="45"/>
    </row>
    <row r="5" spans="1:6" x14ac:dyDescent="0.3">
      <c r="A5" s="9"/>
      <c r="B5" s="5"/>
      <c r="C5" s="5" t="s">
        <v>58</v>
      </c>
      <c r="D5" s="45"/>
      <c r="E5" s="45">
        <f>+SUM(D6:D13)</f>
        <v>2808.1380000000004</v>
      </c>
      <c r="F5" s="45"/>
    </row>
    <row r="6" spans="1:6" x14ac:dyDescent="0.3">
      <c r="A6" s="5"/>
      <c r="B6" s="5"/>
      <c r="C6" s="5" t="s">
        <v>57</v>
      </c>
      <c r="D6" s="45">
        <f>+NÓMINA!D13</f>
        <v>1810</v>
      </c>
      <c r="E6" s="45"/>
      <c r="F6" s="45"/>
    </row>
    <row r="7" spans="1:6" x14ac:dyDescent="0.3">
      <c r="A7" s="5"/>
      <c r="B7" s="5"/>
      <c r="C7" s="5" t="s">
        <v>59</v>
      </c>
      <c r="D7" s="45">
        <f>+NÓMINA!J13</f>
        <v>103.29166666666669</v>
      </c>
      <c r="E7" s="45"/>
      <c r="F7" s="45"/>
    </row>
    <row r="8" spans="1:6" x14ac:dyDescent="0.3">
      <c r="A8" s="5"/>
      <c r="B8" s="5"/>
      <c r="C8" s="5" t="s">
        <v>60</v>
      </c>
      <c r="D8" s="45">
        <f>+NÓMINA!I13</f>
        <v>258.32499999999999</v>
      </c>
      <c r="E8" s="45"/>
      <c r="F8" s="45"/>
    </row>
    <row r="9" spans="1:6" x14ac:dyDescent="0.3">
      <c r="A9" s="5"/>
      <c r="B9" s="5"/>
      <c r="C9" s="5" t="s">
        <v>61</v>
      </c>
      <c r="D9" s="45">
        <f>+NÓMINA!E13</f>
        <v>219.91500000000002</v>
      </c>
      <c r="E9" s="45"/>
      <c r="F9" s="45"/>
    </row>
    <row r="10" spans="1:6" x14ac:dyDescent="0.3">
      <c r="A10" s="5"/>
      <c r="B10" s="5"/>
      <c r="C10" s="5" t="s">
        <v>62</v>
      </c>
      <c r="D10" s="45">
        <f>+NÓMINA!F13</f>
        <v>150.83333333333334</v>
      </c>
      <c r="E10" s="45"/>
      <c r="F10" s="45"/>
    </row>
    <row r="11" spans="1:6" x14ac:dyDescent="0.3">
      <c r="A11" s="5"/>
      <c r="B11" s="5"/>
      <c r="C11" s="5" t="s">
        <v>63</v>
      </c>
      <c r="D11" s="45">
        <f>+NÓMINA!G13</f>
        <v>115</v>
      </c>
      <c r="E11" s="45"/>
      <c r="F11" s="45"/>
    </row>
    <row r="12" spans="1:6" x14ac:dyDescent="0.3">
      <c r="A12" s="5"/>
      <c r="B12" s="5"/>
      <c r="C12" s="5" t="s">
        <v>64</v>
      </c>
      <c r="D12" s="45">
        <f>+NÓMINA!H13</f>
        <v>150.773</v>
      </c>
      <c r="E12" s="45"/>
      <c r="F12" s="45"/>
    </row>
    <row r="13" spans="1:6" x14ac:dyDescent="0.3">
      <c r="A13" s="5"/>
      <c r="B13" s="5"/>
      <c r="C13" s="5" t="s">
        <v>65</v>
      </c>
      <c r="D13" s="45">
        <v>0</v>
      </c>
      <c r="E13" s="45"/>
      <c r="F13" s="45"/>
    </row>
    <row r="14" spans="1:6" x14ac:dyDescent="0.3">
      <c r="A14" s="5"/>
      <c r="B14" s="5"/>
      <c r="C14" s="5" t="s">
        <v>66</v>
      </c>
      <c r="D14" s="45"/>
      <c r="E14" s="45"/>
      <c r="F14" s="45">
        <f>+SUM(D15:D17)</f>
        <v>1030.96</v>
      </c>
    </row>
    <row r="15" spans="1:6" x14ac:dyDescent="0.3">
      <c r="A15" s="5"/>
      <c r="B15" s="5"/>
      <c r="C15" s="5" t="s">
        <v>67</v>
      </c>
      <c r="D15" s="45">
        <f>+NÓMINA!K13</f>
        <v>171.04499999999999</v>
      </c>
      <c r="E15" s="45"/>
      <c r="F15" s="45"/>
    </row>
    <row r="16" spans="1:6" x14ac:dyDescent="0.3">
      <c r="A16" s="5"/>
      <c r="B16" s="5"/>
      <c r="C16" s="5" t="s">
        <v>68</v>
      </c>
      <c r="D16" s="45">
        <f>+D9</f>
        <v>219.91500000000002</v>
      </c>
      <c r="E16" s="45"/>
      <c r="F16" s="45"/>
    </row>
    <row r="17" spans="1:6" x14ac:dyDescent="0.3">
      <c r="A17" s="5"/>
      <c r="B17" s="5"/>
      <c r="C17" s="5" t="s">
        <v>69</v>
      </c>
      <c r="D17" s="45">
        <f>+NÓMINA!L13</f>
        <v>640</v>
      </c>
      <c r="E17" s="45"/>
      <c r="F17" s="45"/>
    </row>
    <row r="18" spans="1:6" x14ac:dyDescent="0.3">
      <c r="A18" s="5"/>
      <c r="B18" s="5"/>
      <c r="C18" s="5" t="s">
        <v>70</v>
      </c>
      <c r="D18" s="45"/>
      <c r="E18" s="45"/>
      <c r="F18" s="45">
        <v>0</v>
      </c>
    </row>
    <row r="19" spans="1:6" x14ac:dyDescent="0.3">
      <c r="A19" s="5"/>
      <c r="B19" s="5"/>
      <c r="C19" s="5" t="s">
        <v>71</v>
      </c>
      <c r="D19" s="45"/>
      <c r="E19" s="45"/>
      <c r="F19" s="45">
        <v>0</v>
      </c>
    </row>
    <row r="20" spans="1:6" x14ac:dyDescent="0.3">
      <c r="A20" s="5"/>
      <c r="B20" s="5"/>
      <c r="C20" s="5" t="s">
        <v>72</v>
      </c>
      <c r="D20" s="98">
        <v>0</v>
      </c>
      <c r="E20" s="45"/>
      <c r="F20" s="45"/>
    </row>
    <row r="21" spans="1:6" x14ac:dyDescent="0.3">
      <c r="A21" s="5"/>
      <c r="B21" s="5"/>
      <c r="C21" s="5" t="s">
        <v>73</v>
      </c>
      <c r="D21" s="45"/>
      <c r="E21" s="45"/>
      <c r="F21" s="45">
        <f>+NÓMINA!N13</f>
        <v>1777.1779999999999</v>
      </c>
    </row>
    <row r="22" spans="1:6" ht="26" customHeight="1" x14ac:dyDescent="0.3">
      <c r="A22" s="5"/>
      <c r="B22" s="5"/>
      <c r="C22" s="10" t="s">
        <v>74</v>
      </c>
      <c r="D22" s="5"/>
      <c r="E22" s="5"/>
      <c r="F22" s="5"/>
    </row>
    <row r="23" spans="1:6" ht="26" customHeight="1" x14ac:dyDescent="0.3">
      <c r="C23" s="22"/>
    </row>
    <row r="24" spans="1:6" ht="26.5" customHeight="1" x14ac:dyDescent="0.3">
      <c r="A24" s="62" t="s">
        <v>78</v>
      </c>
      <c r="B24" s="62"/>
      <c r="C24" s="62"/>
      <c r="D24" s="62"/>
      <c r="E24" s="62"/>
      <c r="F24" s="62"/>
    </row>
    <row r="25" spans="1:6" x14ac:dyDescent="0.3">
      <c r="A25" s="11" t="s">
        <v>5</v>
      </c>
      <c r="B25" s="11" t="s">
        <v>1</v>
      </c>
      <c r="C25" s="12" t="s">
        <v>22</v>
      </c>
      <c r="D25" s="11" t="s">
        <v>52</v>
      </c>
      <c r="E25" s="11" t="s">
        <v>53</v>
      </c>
      <c r="F25" s="11" t="s">
        <v>54</v>
      </c>
    </row>
    <row r="26" spans="1:6" x14ac:dyDescent="0.3">
      <c r="A26" s="5"/>
      <c r="B26" s="5"/>
      <c r="C26" s="6" t="s">
        <v>75</v>
      </c>
      <c r="D26" s="5"/>
      <c r="E26" s="5"/>
      <c r="F26" s="5"/>
    </row>
    <row r="27" spans="1:6" x14ac:dyDescent="0.3">
      <c r="A27" s="5"/>
      <c r="B27" s="5"/>
      <c r="C27" s="5" t="s">
        <v>76</v>
      </c>
      <c r="D27" s="5"/>
      <c r="E27" s="46">
        <f>+F29+F30-E28</f>
        <v>982.95348092868983</v>
      </c>
      <c r="F27" s="5"/>
    </row>
    <row r="28" spans="1:6" x14ac:dyDescent="0.3">
      <c r="A28" s="5"/>
      <c r="B28" s="5"/>
      <c r="C28" s="5" t="s">
        <v>174</v>
      </c>
      <c r="D28" s="5"/>
      <c r="E28" s="46">
        <f>+'ASIGNACION COSTOS'!K10</f>
        <v>802.63475953565501</v>
      </c>
      <c r="F28" s="5"/>
    </row>
    <row r="29" spans="1:6" x14ac:dyDescent="0.3">
      <c r="A29" s="5"/>
      <c r="B29" s="5"/>
      <c r="C29" s="5" t="s">
        <v>77</v>
      </c>
      <c r="D29" s="5"/>
      <c r="E29" s="5"/>
      <c r="F29" s="46">
        <f>+'ASIGNACION COSTOS'!I10</f>
        <v>1004.5445323383085</v>
      </c>
    </row>
    <row r="30" spans="1:6" x14ac:dyDescent="0.3">
      <c r="A30" s="5"/>
      <c r="B30" s="5"/>
      <c r="C30" s="5" t="s">
        <v>182</v>
      </c>
      <c r="D30" s="5"/>
      <c r="E30" s="5"/>
      <c r="F30" s="46">
        <f>+'ASIGNACION COSTOS'!J10</f>
        <v>781.04370812603634</v>
      </c>
    </row>
    <row r="31" spans="1:6" x14ac:dyDescent="0.3">
      <c r="A31" s="5"/>
      <c r="B31" s="5"/>
      <c r="C31" s="5" t="s">
        <v>79</v>
      </c>
      <c r="D31" s="5"/>
      <c r="E31" s="5"/>
      <c r="F31" s="5"/>
    </row>
  </sheetData>
  <mergeCells count="2">
    <mergeCell ref="A1:F1"/>
    <mergeCell ref="A24:F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D737-5CBC-4879-9392-EA0599843B0C}">
  <dimension ref="A1:K71"/>
  <sheetViews>
    <sheetView workbookViewId="0">
      <selection activeCell="B2" sqref="B2:J2"/>
    </sheetView>
  </sheetViews>
  <sheetFormatPr baseColWidth="10" defaultRowHeight="13" outlineLevelRow="1" x14ac:dyDescent="0.3"/>
  <cols>
    <col min="1" max="1" width="2" style="1" customWidth="1"/>
    <col min="2" max="2" width="24" style="1" customWidth="1"/>
    <col min="3" max="3" width="9.54296875" style="1" bestFit="1" customWidth="1"/>
    <col min="4" max="4" width="8.7265625" style="1" customWidth="1"/>
    <col min="5" max="5" width="10.81640625" style="1" bestFit="1" customWidth="1"/>
    <col min="6" max="6" width="7.453125" style="1" bestFit="1" customWidth="1"/>
    <col min="7" max="7" width="9.54296875" style="1" bestFit="1" customWidth="1"/>
    <col min="8" max="8" width="17.36328125" style="1" bestFit="1" customWidth="1"/>
    <col min="9" max="9" width="16.90625" style="1" bestFit="1" customWidth="1"/>
    <col min="10" max="10" width="9" style="1" bestFit="1" customWidth="1"/>
    <col min="11" max="11" width="2.26953125" style="1" customWidth="1"/>
    <col min="12" max="16384" width="10.90625" style="1"/>
  </cols>
  <sheetData>
    <row r="1" spans="1:11" x14ac:dyDescent="0.3">
      <c r="A1" s="13"/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3">
      <c r="A2" s="16"/>
      <c r="B2" s="59" t="str">
        <f>+DATOS!$A$1</f>
        <v>EMPRESA INDUSTRIAL: "GMR"</v>
      </c>
      <c r="C2" s="59"/>
      <c r="D2" s="59"/>
      <c r="E2" s="59"/>
      <c r="F2" s="59"/>
      <c r="G2" s="59"/>
      <c r="H2" s="59"/>
      <c r="I2" s="59"/>
      <c r="J2" s="59"/>
      <c r="K2" s="17"/>
    </row>
    <row r="3" spans="1:11" x14ac:dyDescent="0.3">
      <c r="A3" s="16"/>
      <c r="B3" s="59" t="s">
        <v>0</v>
      </c>
      <c r="C3" s="59"/>
      <c r="D3" s="59"/>
      <c r="E3" s="59"/>
      <c r="F3" s="59"/>
      <c r="G3" s="59"/>
      <c r="H3" s="59"/>
      <c r="I3" s="59"/>
      <c r="J3" s="59"/>
      <c r="K3" s="17"/>
    </row>
    <row r="4" spans="1:11" x14ac:dyDescent="0.3">
      <c r="A4" s="16"/>
      <c r="K4" s="17"/>
    </row>
    <row r="5" spans="1:11" x14ac:dyDescent="0.3">
      <c r="A5" s="16"/>
      <c r="B5" s="68" t="s">
        <v>16</v>
      </c>
      <c r="C5" s="68"/>
      <c r="D5" s="68"/>
      <c r="E5" s="1" t="str">
        <f>+VLOOKUP(J5,DATOS!$A$10:$B$12,2)</f>
        <v>Gadvay Verónica</v>
      </c>
      <c r="F5" s="2"/>
      <c r="G5" s="2"/>
      <c r="I5" s="2" t="s">
        <v>1</v>
      </c>
      <c r="J5" s="37" t="str">
        <f>+DATOS!A10</f>
        <v>004</v>
      </c>
      <c r="K5" s="17"/>
    </row>
    <row r="6" spans="1:11" outlineLevel="1" x14ac:dyDescent="0.3">
      <c r="A6" s="16"/>
      <c r="B6" s="68" t="s">
        <v>2</v>
      </c>
      <c r="C6" s="68"/>
      <c r="D6" s="68"/>
      <c r="E6" s="69" t="s">
        <v>105</v>
      </c>
      <c r="F6" s="69"/>
      <c r="G6" s="69"/>
      <c r="K6" s="17"/>
    </row>
    <row r="7" spans="1:11" outlineLevel="1" x14ac:dyDescent="0.3">
      <c r="A7" s="16"/>
      <c r="B7" s="68" t="s">
        <v>3</v>
      </c>
      <c r="C7" s="68"/>
      <c r="D7" s="68"/>
      <c r="E7" s="69" t="str">
        <f>+DATOS!$C$8</f>
        <v>Del 06 al 10 de mayo de 2024</v>
      </c>
      <c r="F7" s="69"/>
      <c r="G7" s="69"/>
      <c r="I7" s="2" t="s">
        <v>4</v>
      </c>
      <c r="J7" s="1" t="str">
        <f>+DATOS!$C$7</f>
        <v>MAYO</v>
      </c>
    </row>
    <row r="8" spans="1:11" outlineLevel="1" x14ac:dyDescent="0.3">
      <c r="A8" s="16"/>
      <c r="K8" s="17"/>
    </row>
    <row r="9" spans="1:11" ht="26" outlineLevel="1" x14ac:dyDescent="0.3">
      <c r="A9" s="16"/>
      <c r="B9" s="3" t="s">
        <v>5</v>
      </c>
      <c r="C9" s="3" t="s">
        <v>6</v>
      </c>
      <c r="D9" s="3" t="s">
        <v>7</v>
      </c>
      <c r="E9" s="3" t="s">
        <v>6</v>
      </c>
      <c r="F9" s="3" t="s">
        <v>7</v>
      </c>
      <c r="G9" s="4" t="s">
        <v>8</v>
      </c>
      <c r="H9" s="4" t="s">
        <v>9</v>
      </c>
      <c r="I9" s="4" t="s">
        <v>80</v>
      </c>
      <c r="J9" s="3" t="s">
        <v>10</v>
      </c>
      <c r="K9" s="17"/>
    </row>
    <row r="10" spans="1:11" outlineLevel="1" x14ac:dyDescent="0.3">
      <c r="A10" s="16"/>
      <c r="B10" s="40">
        <v>45418</v>
      </c>
      <c r="C10" s="41">
        <f>+DATOS!G10</f>
        <v>0.29166666666666669</v>
      </c>
      <c r="D10" s="41">
        <v>0.5</v>
      </c>
      <c r="E10" s="41">
        <v>0.54166666666666663</v>
      </c>
      <c r="F10" s="41">
        <f>+DATOS!H10</f>
        <v>0.66666666666666663</v>
      </c>
      <c r="G10" s="41">
        <f>+F10-C10-(E10-D10)</f>
        <v>0.33333333333333331</v>
      </c>
      <c r="H10" s="41"/>
      <c r="I10" s="41"/>
      <c r="J10" s="41">
        <f t="shared" ref="J10:J15" si="0">+SUM(G10:I10)</f>
        <v>0.33333333333333331</v>
      </c>
      <c r="K10" s="17"/>
    </row>
    <row r="11" spans="1:11" outlineLevel="1" x14ac:dyDescent="0.3">
      <c r="A11" s="16"/>
      <c r="B11" s="40">
        <v>45419</v>
      </c>
      <c r="C11" s="41">
        <f t="shared" ref="C11:F12" si="1">+C10</f>
        <v>0.29166666666666669</v>
      </c>
      <c r="D11" s="41">
        <f t="shared" si="1"/>
        <v>0.5</v>
      </c>
      <c r="E11" s="41">
        <f t="shared" si="1"/>
        <v>0.54166666666666663</v>
      </c>
      <c r="F11" s="41">
        <f t="shared" si="1"/>
        <v>0.66666666666666663</v>
      </c>
      <c r="G11" s="41">
        <f>+F11-C11-(E11-D11)</f>
        <v>0.33333333333333331</v>
      </c>
      <c r="H11" s="41"/>
      <c r="I11" s="41"/>
      <c r="J11" s="41">
        <f t="shared" si="0"/>
        <v>0.33333333333333331</v>
      </c>
      <c r="K11" s="17"/>
    </row>
    <row r="12" spans="1:11" outlineLevel="1" x14ac:dyDescent="0.3">
      <c r="A12" s="16"/>
      <c r="B12" s="40">
        <v>45420</v>
      </c>
      <c r="C12" s="41">
        <f t="shared" si="1"/>
        <v>0.29166666666666669</v>
      </c>
      <c r="D12" s="41">
        <f t="shared" si="1"/>
        <v>0.5</v>
      </c>
      <c r="E12" s="41">
        <f t="shared" si="1"/>
        <v>0.54166666666666663</v>
      </c>
      <c r="F12" s="41">
        <f t="shared" si="1"/>
        <v>0.66666666666666663</v>
      </c>
      <c r="G12" s="41">
        <f>+F12-C12-(E12-D12)</f>
        <v>0.33333333333333331</v>
      </c>
      <c r="H12" s="41"/>
      <c r="I12" s="41"/>
      <c r="J12" s="41">
        <f t="shared" si="0"/>
        <v>0.33333333333333331</v>
      </c>
      <c r="K12" s="17"/>
    </row>
    <row r="13" spans="1:11" outlineLevel="1" x14ac:dyDescent="0.3">
      <c r="A13" s="16"/>
      <c r="B13" s="40">
        <v>45421</v>
      </c>
      <c r="C13" s="41">
        <f t="shared" ref="C13:F14" si="2">+C12</f>
        <v>0.29166666666666669</v>
      </c>
      <c r="D13" s="41">
        <f t="shared" si="2"/>
        <v>0.5</v>
      </c>
      <c r="E13" s="41">
        <f t="shared" si="2"/>
        <v>0.54166666666666663</v>
      </c>
      <c r="F13" s="41">
        <f t="shared" si="2"/>
        <v>0.66666666666666663</v>
      </c>
      <c r="G13" s="41">
        <f>+F13-C13-(E13-D13)</f>
        <v>0.33333333333333331</v>
      </c>
      <c r="H13" s="41">
        <f>+DATOS!M10</f>
        <v>0.125</v>
      </c>
      <c r="I13" s="41"/>
      <c r="J13" s="41">
        <f t="shared" si="0"/>
        <v>0.45833333333333331</v>
      </c>
      <c r="K13" s="17"/>
    </row>
    <row r="14" spans="1:11" outlineLevel="1" x14ac:dyDescent="0.3">
      <c r="A14" s="16"/>
      <c r="B14" s="40">
        <v>45422</v>
      </c>
      <c r="C14" s="41">
        <f t="shared" si="2"/>
        <v>0.29166666666666669</v>
      </c>
      <c r="D14" s="41">
        <f t="shared" si="2"/>
        <v>0.5</v>
      </c>
      <c r="E14" s="41">
        <f t="shared" si="2"/>
        <v>0.54166666666666663</v>
      </c>
      <c r="F14" s="41">
        <f t="shared" si="2"/>
        <v>0.66666666666666663</v>
      </c>
      <c r="G14" s="41">
        <f>+F14-C14-(E14-D14)</f>
        <v>0.33333333333333331</v>
      </c>
      <c r="H14" s="41">
        <f>+H13</f>
        <v>0.125</v>
      </c>
      <c r="I14" s="41"/>
      <c r="J14" s="41">
        <f t="shared" si="0"/>
        <v>0.45833333333333331</v>
      </c>
      <c r="K14" s="17"/>
    </row>
    <row r="15" spans="1:11" outlineLevel="1" x14ac:dyDescent="0.3">
      <c r="A15" s="16"/>
      <c r="B15" s="40">
        <v>45423</v>
      </c>
      <c r="C15" s="41">
        <f>+C14</f>
        <v>0.29166666666666669</v>
      </c>
      <c r="D15" s="41">
        <f>+D14</f>
        <v>0.5</v>
      </c>
      <c r="E15" s="41"/>
      <c r="F15" s="41"/>
      <c r="G15" s="41"/>
      <c r="H15" s="41"/>
      <c r="I15" s="41">
        <f>+F15-C15-(E15-D15)</f>
        <v>0.20833333333333331</v>
      </c>
      <c r="J15" s="41">
        <f t="shared" si="0"/>
        <v>0.20833333333333331</v>
      </c>
      <c r="K15" s="17"/>
    </row>
    <row r="16" spans="1:11" outlineLevel="1" x14ac:dyDescent="0.3">
      <c r="A16" s="16"/>
      <c r="B16" s="40">
        <v>45424</v>
      </c>
      <c r="C16" s="38"/>
      <c r="D16" s="38"/>
      <c r="E16" s="38"/>
      <c r="F16" s="38"/>
      <c r="G16" s="38"/>
      <c r="H16" s="41"/>
      <c r="I16" s="41"/>
      <c r="J16" s="41"/>
      <c r="K16" s="17"/>
    </row>
    <row r="17" spans="1:11" outlineLevel="1" x14ac:dyDescent="0.3">
      <c r="A17" s="16"/>
      <c r="B17" s="70" t="s">
        <v>10</v>
      </c>
      <c r="C17" s="70"/>
      <c r="D17" s="70"/>
      <c r="E17" s="70"/>
      <c r="F17" s="70"/>
      <c r="G17" s="41">
        <f>SUM(G10:G16)</f>
        <v>1.6666666666666665</v>
      </c>
      <c r="H17" s="41">
        <f>+SUM(H10:H16)</f>
        <v>0.25</v>
      </c>
      <c r="I17" s="41">
        <f>+SUM(I10:I16)</f>
        <v>0.20833333333333331</v>
      </c>
      <c r="J17" s="41">
        <f>+SUM(J10:J16)</f>
        <v>2.125</v>
      </c>
      <c r="K17" s="42"/>
    </row>
    <row r="18" spans="1:11" outlineLevel="1" x14ac:dyDescent="0.3">
      <c r="A18" s="16"/>
      <c r="K18" s="17"/>
    </row>
    <row r="19" spans="1:11" outlineLevel="1" x14ac:dyDescent="0.3">
      <c r="A19" s="16"/>
      <c r="B19" s="60" t="s">
        <v>11</v>
      </c>
      <c r="C19" s="60"/>
      <c r="D19" s="71" t="s">
        <v>12</v>
      </c>
      <c r="E19" s="71"/>
      <c r="F19" s="71"/>
      <c r="G19" s="41">
        <f>+G17</f>
        <v>1.6666666666666665</v>
      </c>
      <c r="K19" s="17"/>
    </row>
    <row r="20" spans="1:11" outlineLevel="1" x14ac:dyDescent="0.3">
      <c r="A20" s="16"/>
      <c r="B20" s="60"/>
      <c r="C20" s="60"/>
      <c r="D20" s="71" t="s">
        <v>13</v>
      </c>
      <c r="E20" s="71"/>
      <c r="F20" s="71"/>
      <c r="G20" s="41">
        <f>+H17</f>
        <v>0.25</v>
      </c>
      <c r="K20" s="17"/>
    </row>
    <row r="21" spans="1:11" outlineLevel="1" x14ac:dyDescent="0.3">
      <c r="A21" s="16"/>
      <c r="B21" s="60"/>
      <c r="C21" s="60"/>
      <c r="D21" s="71" t="s">
        <v>14</v>
      </c>
      <c r="E21" s="71"/>
      <c r="F21" s="71"/>
      <c r="G21" s="41">
        <f>+I17</f>
        <v>0.20833333333333331</v>
      </c>
      <c r="K21" s="17"/>
    </row>
    <row r="22" spans="1:11" outlineLevel="1" x14ac:dyDescent="0.3">
      <c r="A22" s="16"/>
      <c r="B22" s="60"/>
      <c r="C22" s="60"/>
      <c r="D22" s="71" t="s">
        <v>15</v>
      </c>
      <c r="E22" s="71"/>
      <c r="F22" s="71"/>
      <c r="G22" s="41">
        <f>+SUM(G19:G21)</f>
        <v>2.125</v>
      </c>
      <c r="K22" s="17"/>
    </row>
    <row r="23" spans="1:11" ht="13.5" outlineLevel="1" thickBot="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20"/>
    </row>
    <row r="24" spans="1:11" ht="13.5" thickBot="1" x14ac:dyDescent="0.35"/>
    <row r="25" spans="1:11" x14ac:dyDescent="0.3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5"/>
    </row>
    <row r="26" spans="1:11" x14ac:dyDescent="0.3">
      <c r="A26" s="16"/>
      <c r="B26" s="59" t="str">
        <f>+DATOS!$A$1</f>
        <v>EMPRESA INDUSTRIAL: "GMR"</v>
      </c>
      <c r="C26" s="59"/>
      <c r="D26" s="59"/>
      <c r="E26" s="59"/>
      <c r="F26" s="59"/>
      <c r="G26" s="59"/>
      <c r="H26" s="59"/>
      <c r="I26" s="59"/>
      <c r="J26" s="59"/>
      <c r="K26" s="17"/>
    </row>
    <row r="27" spans="1:11" x14ac:dyDescent="0.3">
      <c r="A27" s="16"/>
      <c r="B27" s="59" t="s">
        <v>0</v>
      </c>
      <c r="C27" s="59"/>
      <c r="D27" s="59"/>
      <c r="E27" s="59"/>
      <c r="F27" s="59"/>
      <c r="G27" s="59"/>
      <c r="H27" s="59"/>
      <c r="I27" s="59"/>
      <c r="J27" s="59"/>
      <c r="K27" s="17"/>
    </row>
    <row r="28" spans="1:11" x14ac:dyDescent="0.3">
      <c r="A28" s="16"/>
      <c r="K28" s="17"/>
    </row>
    <row r="29" spans="1:11" x14ac:dyDescent="0.3">
      <c r="A29" s="16"/>
      <c r="B29" s="68" t="s">
        <v>16</v>
      </c>
      <c r="C29" s="68"/>
      <c r="D29" s="68"/>
      <c r="E29" s="1" t="str">
        <f>+VLOOKUP(J29,DATOS!$A$10:$B$12,2)</f>
        <v>Suarez Carlos</v>
      </c>
      <c r="F29" s="2"/>
      <c r="G29" s="2"/>
      <c r="I29" s="2" t="s">
        <v>1</v>
      </c>
      <c r="J29" s="37" t="s">
        <v>116</v>
      </c>
      <c r="K29" s="17"/>
    </row>
    <row r="30" spans="1:11" x14ac:dyDescent="0.3">
      <c r="A30" s="16"/>
      <c r="B30" s="68" t="s">
        <v>2</v>
      </c>
      <c r="C30" s="68"/>
      <c r="D30" s="68"/>
      <c r="E30" s="69" t="s">
        <v>105</v>
      </c>
      <c r="F30" s="69"/>
      <c r="G30" s="69"/>
      <c r="K30" s="17"/>
    </row>
    <row r="31" spans="1:11" x14ac:dyDescent="0.3">
      <c r="A31" s="16"/>
      <c r="B31" s="68" t="s">
        <v>3</v>
      </c>
      <c r="C31" s="68"/>
      <c r="D31" s="68"/>
      <c r="E31" s="69" t="str">
        <f>+DATOS!$C$8</f>
        <v>Del 06 al 10 de mayo de 2024</v>
      </c>
      <c r="F31" s="69"/>
      <c r="G31" s="69"/>
      <c r="I31" s="2" t="s">
        <v>4</v>
      </c>
      <c r="J31" s="1" t="str">
        <f>+DATOS!$C$7</f>
        <v>MAYO</v>
      </c>
      <c r="K31" s="17"/>
    </row>
    <row r="32" spans="1:11" x14ac:dyDescent="0.3">
      <c r="A32" s="16"/>
      <c r="K32" s="17"/>
    </row>
    <row r="33" spans="1:11" ht="26" x14ac:dyDescent="0.3">
      <c r="A33" s="16"/>
      <c r="B33" s="3" t="s">
        <v>5</v>
      </c>
      <c r="C33" s="3" t="s">
        <v>6</v>
      </c>
      <c r="D33" s="3" t="s">
        <v>7</v>
      </c>
      <c r="E33" s="3" t="s">
        <v>6</v>
      </c>
      <c r="F33" s="3" t="s">
        <v>7</v>
      </c>
      <c r="G33" s="4" t="s">
        <v>8</v>
      </c>
      <c r="H33" s="4" t="s">
        <v>9</v>
      </c>
      <c r="I33" s="4" t="s">
        <v>80</v>
      </c>
      <c r="J33" s="3" t="s">
        <v>10</v>
      </c>
      <c r="K33" s="17"/>
    </row>
    <row r="34" spans="1:11" x14ac:dyDescent="0.3">
      <c r="A34" s="16"/>
      <c r="B34" s="40">
        <v>45418</v>
      </c>
      <c r="C34" s="41">
        <f>+DATOS!G11</f>
        <v>0.29166666666666669</v>
      </c>
      <c r="D34" s="41">
        <f>+D10</f>
        <v>0.5</v>
      </c>
      <c r="E34" s="41">
        <f>+E10</f>
        <v>0.54166666666666663</v>
      </c>
      <c r="F34" s="41">
        <f>+DATOS!H11</f>
        <v>0.66666666666666663</v>
      </c>
      <c r="G34" s="41">
        <f>+F34-C34-(E34-D34)</f>
        <v>0.33333333333333331</v>
      </c>
      <c r="H34" s="41"/>
      <c r="I34" s="41"/>
      <c r="J34" s="41">
        <f t="shared" ref="J34:J39" si="3">+SUM(G34:I34)</f>
        <v>0.33333333333333331</v>
      </c>
      <c r="K34" s="17"/>
    </row>
    <row r="35" spans="1:11" x14ac:dyDescent="0.3">
      <c r="A35" s="16"/>
      <c r="B35" s="40">
        <v>45419</v>
      </c>
      <c r="C35" s="41">
        <f t="shared" ref="C35:F36" si="4">+C34</f>
        <v>0.29166666666666669</v>
      </c>
      <c r="D35" s="41">
        <f t="shared" si="4"/>
        <v>0.5</v>
      </c>
      <c r="E35" s="41">
        <f t="shared" si="4"/>
        <v>0.54166666666666663</v>
      </c>
      <c r="F35" s="41">
        <f t="shared" si="4"/>
        <v>0.66666666666666663</v>
      </c>
      <c r="G35" s="41">
        <f>+F35-C35-(E35-D35)</f>
        <v>0.33333333333333331</v>
      </c>
      <c r="H35" s="41"/>
      <c r="I35" s="41"/>
      <c r="J35" s="41">
        <f t="shared" si="3"/>
        <v>0.33333333333333331</v>
      </c>
      <c r="K35" s="17"/>
    </row>
    <row r="36" spans="1:11" x14ac:dyDescent="0.3">
      <c r="A36" s="16"/>
      <c r="B36" s="40">
        <v>45420</v>
      </c>
      <c r="C36" s="41">
        <f t="shared" si="4"/>
        <v>0.29166666666666669</v>
      </c>
      <c r="D36" s="41">
        <f t="shared" si="4"/>
        <v>0.5</v>
      </c>
      <c r="E36" s="41">
        <f t="shared" si="4"/>
        <v>0.54166666666666663</v>
      </c>
      <c r="F36" s="41">
        <f t="shared" si="4"/>
        <v>0.66666666666666663</v>
      </c>
      <c r="G36" s="41">
        <f>+F36-C36-(E36-D36)</f>
        <v>0.33333333333333331</v>
      </c>
      <c r="H36" s="41"/>
      <c r="I36" s="41"/>
      <c r="J36" s="41">
        <f t="shared" si="3"/>
        <v>0.33333333333333331</v>
      </c>
      <c r="K36" s="17"/>
    </row>
    <row r="37" spans="1:11" x14ac:dyDescent="0.3">
      <c r="A37" s="16"/>
      <c r="B37" s="40">
        <v>45421</v>
      </c>
      <c r="C37" s="41">
        <f t="shared" ref="C37:F38" si="5">+C36</f>
        <v>0.29166666666666669</v>
      </c>
      <c r="D37" s="41">
        <f t="shared" si="5"/>
        <v>0.5</v>
      </c>
      <c r="E37" s="41">
        <f t="shared" si="5"/>
        <v>0.54166666666666663</v>
      </c>
      <c r="F37" s="41">
        <f t="shared" si="5"/>
        <v>0.66666666666666663</v>
      </c>
      <c r="G37" s="41">
        <f>+F37-C37-(E37-D37)</f>
        <v>0.33333333333333331</v>
      </c>
      <c r="H37" s="41">
        <f>+DATOS!M11</f>
        <v>0.125</v>
      </c>
      <c r="I37" s="41"/>
      <c r="J37" s="41">
        <f t="shared" si="3"/>
        <v>0.45833333333333331</v>
      </c>
      <c r="K37" s="17"/>
    </row>
    <row r="38" spans="1:11" x14ac:dyDescent="0.3">
      <c r="A38" s="16"/>
      <c r="B38" s="40">
        <v>45422</v>
      </c>
      <c r="C38" s="41">
        <f t="shared" si="5"/>
        <v>0.29166666666666669</v>
      </c>
      <c r="D38" s="41">
        <f t="shared" si="5"/>
        <v>0.5</v>
      </c>
      <c r="E38" s="41">
        <f t="shared" si="5"/>
        <v>0.54166666666666663</v>
      </c>
      <c r="F38" s="41">
        <f t="shared" si="5"/>
        <v>0.66666666666666663</v>
      </c>
      <c r="G38" s="41">
        <f>+F38-C38-(E38-D38)</f>
        <v>0.33333333333333331</v>
      </c>
      <c r="H38" s="41">
        <f>+H37</f>
        <v>0.125</v>
      </c>
      <c r="I38" s="41"/>
      <c r="J38" s="41">
        <f t="shared" si="3"/>
        <v>0.45833333333333331</v>
      </c>
      <c r="K38" s="17"/>
    </row>
    <row r="39" spans="1:11" x14ac:dyDescent="0.3">
      <c r="A39" s="16"/>
      <c r="B39" s="40">
        <v>45423</v>
      </c>
      <c r="C39" s="41">
        <f>+C38</f>
        <v>0.29166666666666669</v>
      </c>
      <c r="D39" s="41">
        <f>+D38</f>
        <v>0.5</v>
      </c>
      <c r="E39" s="41"/>
      <c r="F39" s="41"/>
      <c r="G39" s="41"/>
      <c r="H39" s="41"/>
      <c r="I39" s="41">
        <f>+F39-C39-(E39-D39)</f>
        <v>0.20833333333333331</v>
      </c>
      <c r="J39" s="41">
        <f t="shared" si="3"/>
        <v>0.20833333333333331</v>
      </c>
      <c r="K39" s="17"/>
    </row>
    <row r="40" spans="1:11" x14ac:dyDescent="0.3">
      <c r="A40" s="16"/>
      <c r="B40" s="40">
        <v>45424</v>
      </c>
      <c r="C40" s="38"/>
      <c r="D40" s="38"/>
      <c r="E40" s="38"/>
      <c r="F40" s="38"/>
      <c r="G40" s="38"/>
      <c r="H40" s="41"/>
      <c r="I40" s="41"/>
      <c r="J40" s="41"/>
      <c r="K40" s="17"/>
    </row>
    <row r="41" spans="1:11" x14ac:dyDescent="0.3">
      <c r="A41" s="16"/>
      <c r="B41" s="70" t="s">
        <v>10</v>
      </c>
      <c r="C41" s="70"/>
      <c r="D41" s="70"/>
      <c r="E41" s="70"/>
      <c r="F41" s="70"/>
      <c r="G41" s="41">
        <f>SUM(G34:G40)</f>
        <v>1.6666666666666665</v>
      </c>
      <c r="H41" s="41">
        <f>+SUM(H34:H40)</f>
        <v>0.25</v>
      </c>
      <c r="I41" s="41">
        <f>+SUM(I34:I40)</f>
        <v>0.20833333333333331</v>
      </c>
      <c r="J41" s="41">
        <f>+SUM(J34:J40)</f>
        <v>2.125</v>
      </c>
      <c r="K41" s="42"/>
    </row>
    <row r="42" spans="1:11" x14ac:dyDescent="0.3">
      <c r="A42" s="16"/>
      <c r="K42" s="17"/>
    </row>
    <row r="43" spans="1:11" x14ac:dyDescent="0.3">
      <c r="A43" s="16"/>
      <c r="B43" s="60" t="s">
        <v>11</v>
      </c>
      <c r="C43" s="60"/>
      <c r="D43" s="71" t="s">
        <v>12</v>
      </c>
      <c r="E43" s="71"/>
      <c r="F43" s="71"/>
      <c r="G43" s="41">
        <f>+G41</f>
        <v>1.6666666666666665</v>
      </c>
      <c r="K43" s="17"/>
    </row>
    <row r="44" spans="1:11" x14ac:dyDescent="0.3">
      <c r="A44" s="16"/>
      <c r="B44" s="60"/>
      <c r="C44" s="60"/>
      <c r="D44" s="71" t="s">
        <v>13</v>
      </c>
      <c r="E44" s="71"/>
      <c r="F44" s="71"/>
      <c r="G44" s="41">
        <f>+H41</f>
        <v>0.25</v>
      </c>
      <c r="K44" s="17"/>
    </row>
    <row r="45" spans="1:11" x14ac:dyDescent="0.3">
      <c r="A45" s="16"/>
      <c r="B45" s="60"/>
      <c r="C45" s="60"/>
      <c r="D45" s="71" t="s">
        <v>14</v>
      </c>
      <c r="E45" s="71"/>
      <c r="F45" s="71"/>
      <c r="G45" s="41">
        <f>+I41</f>
        <v>0.20833333333333331</v>
      </c>
      <c r="K45" s="17"/>
    </row>
    <row r="46" spans="1:11" x14ac:dyDescent="0.3">
      <c r="A46" s="16"/>
      <c r="B46" s="60"/>
      <c r="C46" s="60"/>
      <c r="D46" s="71" t="s">
        <v>15</v>
      </c>
      <c r="E46" s="71"/>
      <c r="F46" s="71"/>
      <c r="G46" s="41">
        <f>+SUM(G43:G45)</f>
        <v>2.125</v>
      </c>
      <c r="K46" s="17"/>
    </row>
    <row r="47" spans="1:11" ht="13.5" thickBot="1" x14ac:dyDescent="0.35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20"/>
    </row>
    <row r="48" spans="1:11" ht="13.5" thickBot="1" x14ac:dyDescent="0.35"/>
    <row r="49" spans="1:11" x14ac:dyDescent="0.3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5"/>
    </row>
    <row r="50" spans="1:11" x14ac:dyDescent="0.3">
      <c r="A50" s="16"/>
      <c r="B50" s="59" t="str">
        <f>+DATOS!$A$1</f>
        <v>EMPRESA INDUSTRIAL: "GMR"</v>
      </c>
      <c r="C50" s="59"/>
      <c r="D50" s="59"/>
      <c r="E50" s="59"/>
      <c r="F50" s="59"/>
      <c r="G50" s="59"/>
      <c r="H50" s="59"/>
      <c r="I50" s="59"/>
      <c r="J50" s="59"/>
      <c r="K50" s="17"/>
    </row>
    <row r="51" spans="1:11" x14ac:dyDescent="0.3">
      <c r="A51" s="16"/>
      <c r="B51" s="59" t="s">
        <v>0</v>
      </c>
      <c r="C51" s="59"/>
      <c r="D51" s="59"/>
      <c r="E51" s="59"/>
      <c r="F51" s="59"/>
      <c r="G51" s="59"/>
      <c r="H51" s="59"/>
      <c r="I51" s="59"/>
      <c r="J51" s="59"/>
      <c r="K51" s="17"/>
    </row>
    <row r="52" spans="1:11" x14ac:dyDescent="0.3">
      <c r="A52" s="16"/>
      <c r="K52" s="17"/>
    </row>
    <row r="53" spans="1:11" x14ac:dyDescent="0.3">
      <c r="A53" s="16"/>
      <c r="B53" s="68" t="s">
        <v>16</v>
      </c>
      <c r="C53" s="68"/>
      <c r="D53" s="68"/>
      <c r="E53" s="1" t="str">
        <f>+VLOOKUP(J53,DATOS!$A$10:$B$12,2)</f>
        <v>Yambay Fernanda</v>
      </c>
      <c r="F53" s="2"/>
      <c r="G53" s="2"/>
      <c r="I53" s="2" t="s">
        <v>1</v>
      </c>
      <c r="J53" s="37" t="s">
        <v>104</v>
      </c>
      <c r="K53" s="17"/>
    </row>
    <row r="54" spans="1:11" x14ac:dyDescent="0.3">
      <c r="A54" s="16"/>
      <c r="B54" s="68" t="s">
        <v>2</v>
      </c>
      <c r="C54" s="68"/>
      <c r="D54" s="68"/>
      <c r="E54" s="69" t="s">
        <v>105</v>
      </c>
      <c r="F54" s="69"/>
      <c r="G54" s="69"/>
      <c r="K54" s="17"/>
    </row>
    <row r="55" spans="1:11" x14ac:dyDescent="0.3">
      <c r="A55" s="16"/>
      <c r="B55" s="68" t="s">
        <v>3</v>
      </c>
      <c r="C55" s="68"/>
      <c r="D55" s="68"/>
      <c r="E55" s="69" t="str">
        <f>+DATOS!$C$8</f>
        <v>Del 06 al 10 de mayo de 2024</v>
      </c>
      <c r="F55" s="69"/>
      <c r="G55" s="69"/>
      <c r="I55" s="2" t="s">
        <v>4</v>
      </c>
      <c r="J55" s="1" t="str">
        <f>+DATOS!$C$7</f>
        <v>MAYO</v>
      </c>
      <c r="K55" s="17"/>
    </row>
    <row r="56" spans="1:11" x14ac:dyDescent="0.3">
      <c r="A56" s="16"/>
      <c r="K56" s="17"/>
    </row>
    <row r="57" spans="1:11" ht="26" x14ac:dyDescent="0.3">
      <c r="A57" s="16"/>
      <c r="B57" s="3" t="s">
        <v>5</v>
      </c>
      <c r="C57" s="3" t="s">
        <v>6</v>
      </c>
      <c r="D57" s="3" t="s">
        <v>7</v>
      </c>
      <c r="E57" s="3" t="s">
        <v>6</v>
      </c>
      <c r="F57" s="3" t="s">
        <v>7</v>
      </c>
      <c r="G57" s="4" t="s">
        <v>8</v>
      </c>
      <c r="H57" s="4" t="s">
        <v>9</v>
      </c>
      <c r="I57" s="4" t="s">
        <v>80</v>
      </c>
      <c r="J57" s="3" t="s">
        <v>10</v>
      </c>
      <c r="K57" s="17"/>
    </row>
    <row r="58" spans="1:11" x14ac:dyDescent="0.3">
      <c r="A58" s="16"/>
      <c r="B58" s="40">
        <v>45418</v>
      </c>
      <c r="C58" s="41">
        <f>+DATOS!G12</f>
        <v>0.33333333333333331</v>
      </c>
      <c r="D58" s="41">
        <v>0.54166666666666663</v>
      </c>
      <c r="E58" s="41">
        <v>0.58333333333333337</v>
      </c>
      <c r="F58" s="41">
        <f>+DATOS!H12</f>
        <v>0.70833333333333337</v>
      </c>
      <c r="G58" s="41">
        <f>+F58-C58-(E58-D58)</f>
        <v>0.33333333333333331</v>
      </c>
      <c r="H58" s="41"/>
      <c r="I58" s="41"/>
      <c r="J58" s="41">
        <f t="shared" ref="J58:J63" si="6">+SUM(G58:I58)</f>
        <v>0.33333333333333331</v>
      </c>
      <c r="K58" s="17"/>
    </row>
    <row r="59" spans="1:11" x14ac:dyDescent="0.3">
      <c r="A59" s="16"/>
      <c r="B59" s="40">
        <v>45419</v>
      </c>
      <c r="C59" s="41">
        <f t="shared" ref="C59:F60" si="7">+C58</f>
        <v>0.33333333333333331</v>
      </c>
      <c r="D59" s="41">
        <f t="shared" si="7"/>
        <v>0.54166666666666663</v>
      </c>
      <c r="E59" s="41">
        <f t="shared" si="7"/>
        <v>0.58333333333333337</v>
      </c>
      <c r="F59" s="41">
        <f t="shared" si="7"/>
        <v>0.70833333333333337</v>
      </c>
      <c r="G59" s="41">
        <f>+F59-C59-(E59-D59)</f>
        <v>0.33333333333333331</v>
      </c>
      <c r="H59" s="41"/>
      <c r="I59" s="41"/>
      <c r="J59" s="41">
        <f t="shared" si="6"/>
        <v>0.33333333333333331</v>
      </c>
      <c r="K59" s="17"/>
    </row>
    <row r="60" spans="1:11" x14ac:dyDescent="0.3">
      <c r="A60" s="16"/>
      <c r="B60" s="40">
        <v>45420</v>
      </c>
      <c r="C60" s="41">
        <f t="shared" si="7"/>
        <v>0.33333333333333331</v>
      </c>
      <c r="D60" s="41">
        <f t="shared" si="7"/>
        <v>0.54166666666666663</v>
      </c>
      <c r="E60" s="41">
        <f t="shared" si="7"/>
        <v>0.58333333333333337</v>
      </c>
      <c r="F60" s="41">
        <f t="shared" si="7"/>
        <v>0.70833333333333337</v>
      </c>
      <c r="G60" s="41">
        <f>+F60-C60-(E60-D60)</f>
        <v>0.33333333333333331</v>
      </c>
      <c r="H60" s="41"/>
      <c r="I60" s="41"/>
      <c r="J60" s="41">
        <f t="shared" si="6"/>
        <v>0.33333333333333331</v>
      </c>
      <c r="K60" s="17"/>
    </row>
    <row r="61" spans="1:11" x14ac:dyDescent="0.3">
      <c r="A61" s="16"/>
      <c r="B61" s="40">
        <v>45421</v>
      </c>
      <c r="C61" s="41">
        <f t="shared" ref="C61:F62" si="8">+C60</f>
        <v>0.33333333333333331</v>
      </c>
      <c r="D61" s="41">
        <f t="shared" si="8"/>
        <v>0.54166666666666663</v>
      </c>
      <c r="E61" s="41">
        <f t="shared" si="8"/>
        <v>0.58333333333333337</v>
      </c>
      <c r="F61" s="41">
        <f t="shared" si="8"/>
        <v>0.70833333333333337</v>
      </c>
      <c r="G61" s="41">
        <f>+F61-C61-(E61-D61)</f>
        <v>0.33333333333333331</v>
      </c>
      <c r="H61" s="41"/>
      <c r="I61" s="41"/>
      <c r="J61" s="41">
        <f t="shared" si="6"/>
        <v>0.33333333333333331</v>
      </c>
      <c r="K61" s="17"/>
    </row>
    <row r="62" spans="1:11" x14ac:dyDescent="0.3">
      <c r="A62" s="16"/>
      <c r="B62" s="40">
        <v>45422</v>
      </c>
      <c r="C62" s="41">
        <f t="shared" si="8"/>
        <v>0.33333333333333331</v>
      </c>
      <c r="D62" s="41">
        <f t="shared" si="8"/>
        <v>0.54166666666666663</v>
      </c>
      <c r="E62" s="41">
        <f t="shared" si="8"/>
        <v>0.58333333333333337</v>
      </c>
      <c r="F62" s="41">
        <f t="shared" si="8"/>
        <v>0.70833333333333337</v>
      </c>
      <c r="G62" s="41">
        <f>+F62-C62-(E62-D62)</f>
        <v>0.33333333333333331</v>
      </c>
      <c r="H62" s="41">
        <f>+DATOS!M12</f>
        <v>8.3333333333333329E-2</v>
      </c>
      <c r="I62" s="41">
        <f>+DATOS!N12</f>
        <v>8.3333333333333329E-2</v>
      </c>
      <c r="J62" s="41">
        <f t="shared" si="6"/>
        <v>0.49999999999999994</v>
      </c>
      <c r="K62" s="17"/>
    </row>
    <row r="63" spans="1:11" x14ac:dyDescent="0.3">
      <c r="A63" s="16"/>
      <c r="B63" s="40"/>
      <c r="C63" s="41"/>
      <c r="D63" s="41"/>
      <c r="E63" s="41"/>
      <c r="F63" s="41"/>
      <c r="G63" s="41"/>
      <c r="H63" s="41"/>
      <c r="I63" s="41"/>
      <c r="J63" s="41">
        <f t="shared" si="6"/>
        <v>0</v>
      </c>
      <c r="K63" s="17"/>
    </row>
    <row r="64" spans="1:11" x14ac:dyDescent="0.3">
      <c r="A64" s="16"/>
      <c r="B64" s="40"/>
      <c r="C64" s="38"/>
      <c r="D64" s="38"/>
      <c r="E64" s="38"/>
      <c r="F64" s="38"/>
      <c r="G64" s="38"/>
      <c r="H64" s="41"/>
      <c r="I64" s="41"/>
      <c r="J64" s="41"/>
      <c r="K64" s="17"/>
    </row>
    <row r="65" spans="1:11" x14ac:dyDescent="0.3">
      <c r="A65" s="16"/>
      <c r="B65" s="70" t="s">
        <v>10</v>
      </c>
      <c r="C65" s="70"/>
      <c r="D65" s="70"/>
      <c r="E65" s="70"/>
      <c r="F65" s="70"/>
      <c r="G65" s="41">
        <f>SUM(G58:G64)</f>
        <v>1.6666666666666665</v>
      </c>
      <c r="H65" s="41">
        <f>+SUM(H58:H64)</f>
        <v>8.3333333333333329E-2</v>
      </c>
      <c r="I65" s="41">
        <f>+SUM(I58:I64)</f>
        <v>8.3333333333333329E-2</v>
      </c>
      <c r="J65" s="41">
        <f>+SUM(J58:J64)</f>
        <v>1.8333333333333333</v>
      </c>
      <c r="K65" s="42"/>
    </row>
    <row r="66" spans="1:11" x14ac:dyDescent="0.3">
      <c r="A66" s="16"/>
      <c r="K66" s="17"/>
    </row>
    <row r="67" spans="1:11" x14ac:dyDescent="0.3">
      <c r="A67" s="16"/>
      <c r="B67" s="60" t="s">
        <v>11</v>
      </c>
      <c r="C67" s="60"/>
      <c r="D67" s="71" t="s">
        <v>12</v>
      </c>
      <c r="E67" s="71"/>
      <c r="F67" s="71"/>
      <c r="G67" s="41">
        <f>+G65</f>
        <v>1.6666666666666665</v>
      </c>
      <c r="K67" s="17"/>
    </row>
    <row r="68" spans="1:11" x14ac:dyDescent="0.3">
      <c r="A68" s="16"/>
      <c r="B68" s="60"/>
      <c r="C68" s="60"/>
      <c r="D68" s="71" t="s">
        <v>13</v>
      </c>
      <c r="E68" s="71"/>
      <c r="F68" s="71"/>
      <c r="G68" s="41">
        <f>+H65</f>
        <v>8.3333333333333329E-2</v>
      </c>
      <c r="K68" s="17"/>
    </row>
    <row r="69" spans="1:11" x14ac:dyDescent="0.3">
      <c r="A69" s="16"/>
      <c r="B69" s="60"/>
      <c r="C69" s="60"/>
      <c r="D69" s="71" t="s">
        <v>14</v>
      </c>
      <c r="E69" s="71"/>
      <c r="F69" s="71"/>
      <c r="G69" s="41">
        <f>+I65</f>
        <v>8.3333333333333329E-2</v>
      </c>
      <c r="K69" s="17"/>
    </row>
    <row r="70" spans="1:11" x14ac:dyDescent="0.3">
      <c r="A70" s="16"/>
      <c r="B70" s="60"/>
      <c r="C70" s="60"/>
      <c r="D70" s="71" t="s">
        <v>15</v>
      </c>
      <c r="E70" s="71"/>
      <c r="F70" s="71"/>
      <c r="G70" s="41">
        <f>+SUM(G67:G69)</f>
        <v>1.833333333333333</v>
      </c>
      <c r="K70" s="17"/>
    </row>
    <row r="71" spans="1:11" ht="13.5" thickBot="1" x14ac:dyDescent="0.35">
      <c r="A71" s="18"/>
      <c r="B71" s="19"/>
      <c r="C71" s="19"/>
      <c r="D71" s="19"/>
      <c r="E71" s="19"/>
      <c r="F71" s="19"/>
      <c r="G71" s="19"/>
      <c r="H71" s="19"/>
      <c r="I71" s="19"/>
      <c r="J71" s="19"/>
      <c r="K71" s="20"/>
    </row>
  </sheetData>
  <mergeCells count="39">
    <mergeCell ref="B3:J3"/>
    <mergeCell ref="B2:J2"/>
    <mergeCell ref="B5:D5"/>
    <mergeCell ref="B6:D6"/>
    <mergeCell ref="E6:G6"/>
    <mergeCell ref="B7:D7"/>
    <mergeCell ref="E7:G7"/>
    <mergeCell ref="B17:F17"/>
    <mergeCell ref="D19:F19"/>
    <mergeCell ref="D20:F20"/>
    <mergeCell ref="D21:F21"/>
    <mergeCell ref="D22:F22"/>
    <mergeCell ref="B19:C22"/>
    <mergeCell ref="B26:J26"/>
    <mergeCell ref="B27:J27"/>
    <mergeCell ref="B29:D29"/>
    <mergeCell ref="B30:D30"/>
    <mergeCell ref="E30:G30"/>
    <mergeCell ref="B31:D31"/>
    <mergeCell ref="E31:G31"/>
    <mergeCell ref="B41:F41"/>
    <mergeCell ref="B43:C46"/>
    <mergeCell ref="D43:F43"/>
    <mergeCell ref="D44:F44"/>
    <mergeCell ref="D45:F45"/>
    <mergeCell ref="D46:F46"/>
    <mergeCell ref="B50:J50"/>
    <mergeCell ref="B51:J51"/>
    <mergeCell ref="B53:D53"/>
    <mergeCell ref="B54:D54"/>
    <mergeCell ref="E54:G54"/>
    <mergeCell ref="B55:D55"/>
    <mergeCell ref="E55:G55"/>
    <mergeCell ref="B65:F65"/>
    <mergeCell ref="B67:C70"/>
    <mergeCell ref="D67:F67"/>
    <mergeCell ref="D68:F68"/>
    <mergeCell ref="D69:F69"/>
    <mergeCell ref="D70:F70"/>
  </mergeCells>
  <pageMargins left="0.23622047244094488" right="0.23622047244094488" top="0.3543307086614173" bottom="0.3543307086614173" header="0.31496062992125984" footer="0.31496062992125984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19CA-7CB7-46F7-9CD0-ECC9C3AF2220}">
  <dimension ref="A1:H12"/>
  <sheetViews>
    <sheetView topLeftCell="A3" zoomScale="128" workbookViewId="0">
      <selection activeCell="J7" sqref="J7"/>
    </sheetView>
  </sheetViews>
  <sheetFormatPr baseColWidth="10" defaultRowHeight="14.5" x14ac:dyDescent="0.35"/>
  <cols>
    <col min="1" max="1" width="2.81640625" style="23" customWidth="1"/>
    <col min="2" max="2" width="4.1796875" style="23" customWidth="1"/>
    <col min="3" max="3" width="26.36328125" style="23" customWidth="1"/>
    <col min="4" max="4" width="10.1796875" style="23" customWidth="1"/>
    <col min="5" max="5" width="18.453125" style="23" customWidth="1"/>
    <col min="6" max="6" width="16.90625" style="23" bestFit="1" customWidth="1"/>
    <col min="7" max="7" width="9.26953125" style="23" customWidth="1"/>
    <col min="8" max="8" width="3.08984375" style="23" customWidth="1"/>
    <col min="9" max="16384" width="10.90625" style="23"/>
  </cols>
  <sheetData>
    <row r="1" spans="1:8" x14ac:dyDescent="0.35">
      <c r="A1" s="13"/>
      <c r="B1" s="14"/>
      <c r="C1" s="14"/>
      <c r="D1" s="14"/>
      <c r="E1" s="14"/>
      <c r="F1" s="14"/>
      <c r="G1" s="14"/>
      <c r="H1" s="15"/>
    </row>
    <row r="2" spans="1:8" x14ac:dyDescent="0.35">
      <c r="A2" s="16"/>
      <c r="B2" s="59" t="s">
        <v>18</v>
      </c>
      <c r="C2" s="59"/>
      <c r="D2" s="59"/>
      <c r="E2" s="59"/>
      <c r="F2" s="59"/>
      <c r="G2" s="59"/>
      <c r="H2" s="17"/>
    </row>
    <row r="3" spans="1:8" x14ac:dyDescent="0.35">
      <c r="A3" s="16"/>
      <c r="B3" s="59" t="s">
        <v>83</v>
      </c>
      <c r="C3" s="59"/>
      <c r="D3" s="59"/>
      <c r="E3" s="59"/>
      <c r="F3" s="59"/>
      <c r="G3" s="59"/>
      <c r="H3" s="17"/>
    </row>
    <row r="4" spans="1:8" x14ac:dyDescent="0.35">
      <c r="A4" s="16"/>
      <c r="B4" s="59" t="s">
        <v>84</v>
      </c>
      <c r="C4" s="59"/>
      <c r="D4" s="59"/>
      <c r="E4" s="59"/>
      <c r="F4" s="59"/>
      <c r="G4" s="59"/>
      <c r="H4" s="17"/>
    </row>
    <row r="5" spans="1:8" x14ac:dyDescent="0.35">
      <c r="A5" s="16"/>
      <c r="B5" s="1"/>
      <c r="C5" s="1"/>
      <c r="D5" s="1"/>
      <c r="E5" s="1"/>
      <c r="F5" s="1"/>
      <c r="G5" s="1"/>
      <c r="H5" s="17"/>
    </row>
    <row r="6" spans="1:8" ht="26" x14ac:dyDescent="0.35">
      <c r="A6" s="16"/>
      <c r="B6" s="3" t="s">
        <v>32</v>
      </c>
      <c r="C6" s="3" t="s">
        <v>48</v>
      </c>
      <c r="D6" s="4" t="s">
        <v>8</v>
      </c>
      <c r="E6" s="4" t="s">
        <v>9</v>
      </c>
      <c r="F6" s="4" t="s">
        <v>80</v>
      </c>
      <c r="G6" s="3" t="s">
        <v>10</v>
      </c>
      <c r="H6" s="17"/>
    </row>
    <row r="7" spans="1:8" ht="28" customHeight="1" x14ac:dyDescent="0.35">
      <c r="A7" s="16"/>
      <c r="B7" s="43" t="str">
        <f>+DATOS!A10</f>
        <v>004</v>
      </c>
      <c r="C7" s="43" t="str">
        <f>+DATOS!B10</f>
        <v>Gadvay Verónica</v>
      </c>
      <c r="D7" s="41">
        <f>+'tarjeta reloj'!G19</f>
        <v>1.6666666666666665</v>
      </c>
      <c r="E7" s="41">
        <f>+'tarjeta reloj'!G20</f>
        <v>0.25</v>
      </c>
      <c r="F7" s="41">
        <f>+'tarjeta reloj'!G21</f>
        <v>0.20833333333333331</v>
      </c>
      <c r="G7" s="41">
        <f>+SUM(D7:F7)</f>
        <v>2.125</v>
      </c>
      <c r="H7" s="17"/>
    </row>
    <row r="8" spans="1:8" ht="28" customHeight="1" x14ac:dyDescent="0.35">
      <c r="A8" s="16"/>
      <c r="B8" s="43" t="str">
        <f>+DATOS!A11</f>
        <v>008</v>
      </c>
      <c r="C8" s="43" t="str">
        <f>+DATOS!B11</f>
        <v>Suarez Carlos</v>
      </c>
      <c r="D8" s="41">
        <f>+'tarjeta reloj'!G43</f>
        <v>1.6666666666666665</v>
      </c>
      <c r="E8" s="41">
        <f>+'tarjeta reloj'!G44</f>
        <v>0.25</v>
      </c>
      <c r="F8" s="41">
        <f>+'tarjeta reloj'!G45</f>
        <v>0.20833333333333331</v>
      </c>
      <c r="G8" s="41">
        <f>+SUM(D8:F8)</f>
        <v>2.125</v>
      </c>
      <c r="H8" s="17"/>
    </row>
    <row r="9" spans="1:8" ht="28" customHeight="1" x14ac:dyDescent="0.35">
      <c r="A9" s="16"/>
      <c r="B9" s="43" t="str">
        <f>+DATOS!A12</f>
        <v>012</v>
      </c>
      <c r="C9" s="43" t="str">
        <f>+DATOS!B12</f>
        <v>Yambay Fernanda</v>
      </c>
      <c r="D9" s="41">
        <f>+'tarjeta reloj'!G67</f>
        <v>1.6666666666666665</v>
      </c>
      <c r="E9" s="41">
        <f>+'tarjeta reloj'!G68</f>
        <v>8.3333333333333329E-2</v>
      </c>
      <c r="F9" s="41">
        <f>+'tarjeta reloj'!G69</f>
        <v>8.3333333333333329E-2</v>
      </c>
      <c r="G9" s="41">
        <f>+SUM(D9:F9)</f>
        <v>1.833333333333333</v>
      </c>
      <c r="H9" s="17"/>
    </row>
    <row r="10" spans="1:8" ht="28" customHeight="1" x14ac:dyDescent="0.35">
      <c r="A10" s="16"/>
      <c r="B10" s="72" t="s">
        <v>10</v>
      </c>
      <c r="C10" s="73"/>
      <c r="D10" s="5"/>
      <c r="E10" s="5"/>
      <c r="F10" s="5"/>
      <c r="G10" s="5"/>
      <c r="H10" s="17"/>
    </row>
    <row r="11" spans="1:8" ht="15" thickBot="1" x14ac:dyDescent="0.4">
      <c r="A11" s="18"/>
      <c r="B11" s="19"/>
      <c r="C11" s="19"/>
      <c r="D11" s="19"/>
      <c r="E11" s="19"/>
      <c r="F11" s="19"/>
      <c r="G11" s="19"/>
      <c r="H11" s="20"/>
    </row>
    <row r="12" spans="1:8" ht="19" customHeight="1" x14ac:dyDescent="0.35"/>
  </sheetData>
  <mergeCells count="4">
    <mergeCell ref="B2:G2"/>
    <mergeCell ref="B3:G3"/>
    <mergeCell ref="B4:G4"/>
    <mergeCell ref="B10:C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21-7265-400F-AF23-D913351B8951}">
  <dimension ref="A1:I76"/>
  <sheetViews>
    <sheetView topLeftCell="A61" zoomScale="155" workbookViewId="0">
      <selection activeCell="F69" sqref="F69"/>
    </sheetView>
  </sheetViews>
  <sheetFormatPr baseColWidth="10" defaultRowHeight="13" x14ac:dyDescent="0.3"/>
  <cols>
    <col min="1" max="1" width="1.36328125" style="1" customWidth="1"/>
    <col min="2" max="2" width="14.54296875" style="1" customWidth="1"/>
    <col min="3" max="3" width="32.7265625" style="1" customWidth="1"/>
    <col min="4" max="4" width="9.36328125" style="1" customWidth="1"/>
    <col min="5" max="5" width="9.6328125" style="1" customWidth="1"/>
    <col min="6" max="6" width="12.54296875" style="1" customWidth="1"/>
    <col min="7" max="7" width="11.1796875" style="1" customWidth="1"/>
    <col min="8" max="8" width="8.1796875" style="1" customWidth="1"/>
    <col min="9" max="9" width="1.453125" style="1" customWidth="1"/>
    <col min="10" max="16384" width="10.90625" style="1"/>
  </cols>
  <sheetData>
    <row r="1" spans="1:9" ht="6.5" customHeight="1" x14ac:dyDescent="0.3">
      <c r="A1" s="13"/>
      <c r="B1" s="14"/>
      <c r="C1" s="14"/>
      <c r="D1" s="14"/>
      <c r="E1" s="14"/>
      <c r="F1" s="14"/>
      <c r="G1" s="14"/>
      <c r="H1" s="14"/>
      <c r="I1" s="15"/>
    </row>
    <row r="2" spans="1:9" x14ac:dyDescent="0.3">
      <c r="A2" s="16"/>
      <c r="B2" s="59" t="s">
        <v>17</v>
      </c>
      <c r="C2" s="59"/>
      <c r="D2" s="59"/>
      <c r="E2" s="59"/>
      <c r="F2" s="59"/>
      <c r="G2" s="59"/>
      <c r="H2" s="59"/>
      <c r="I2" s="17"/>
    </row>
    <row r="3" spans="1:9" x14ac:dyDescent="0.3">
      <c r="A3" s="16"/>
      <c r="B3" s="59" t="s">
        <v>19</v>
      </c>
      <c r="C3" s="59"/>
      <c r="D3" s="59"/>
      <c r="E3" s="59"/>
      <c r="F3" s="59"/>
      <c r="G3" s="59"/>
      <c r="H3" s="59"/>
      <c r="I3" s="17"/>
    </row>
    <row r="4" spans="1:9" x14ac:dyDescent="0.3">
      <c r="A4" s="16"/>
      <c r="I4" s="17"/>
    </row>
    <row r="5" spans="1:9" x14ac:dyDescent="0.3">
      <c r="A5" s="16"/>
      <c r="B5" s="2" t="s">
        <v>5</v>
      </c>
      <c r="C5" s="1" t="str">
        <f>+DATOS!C8</f>
        <v>Del 06 al 10 de mayo de 2024</v>
      </c>
      <c r="I5" s="17"/>
    </row>
    <row r="6" spans="1:9" x14ac:dyDescent="0.3">
      <c r="A6" s="16"/>
      <c r="B6" s="2" t="s">
        <v>111</v>
      </c>
      <c r="C6" s="59" t="str">
        <f>+VLOOKUP(H6,DATOS!$A$10:$B$12,2)</f>
        <v>Gadvay Verónica</v>
      </c>
      <c r="D6" s="59"/>
      <c r="F6" s="2" t="s">
        <v>1</v>
      </c>
      <c r="H6" s="37" t="s">
        <v>115</v>
      </c>
      <c r="I6" s="17"/>
    </row>
    <row r="7" spans="1:9" x14ac:dyDescent="0.3">
      <c r="A7" s="16"/>
      <c r="B7" s="2" t="s">
        <v>20</v>
      </c>
      <c r="C7" s="1" t="str">
        <f>+VLOOKUP(H6,DATOS!$A$10:$C$12,3)</f>
        <v>Costurera</v>
      </c>
      <c r="F7" s="2" t="s">
        <v>21</v>
      </c>
      <c r="H7" s="1">
        <f>+DATOS!D10/240</f>
        <v>1.9166666666666667</v>
      </c>
      <c r="I7" s="17"/>
    </row>
    <row r="8" spans="1:9" x14ac:dyDescent="0.3">
      <c r="A8" s="16"/>
      <c r="B8" s="1" t="s">
        <v>112</v>
      </c>
      <c r="C8" s="41">
        <v>4.1666666666666664E-2</v>
      </c>
      <c r="I8" s="17"/>
    </row>
    <row r="9" spans="1:9" ht="39" x14ac:dyDescent="0.3">
      <c r="A9" s="16"/>
      <c r="B9" s="21" t="s">
        <v>81</v>
      </c>
      <c r="C9" s="21" t="s">
        <v>22</v>
      </c>
      <c r="D9" s="21" t="s">
        <v>23</v>
      </c>
      <c r="E9" s="21" t="s">
        <v>24</v>
      </c>
      <c r="F9" s="21" t="s">
        <v>25</v>
      </c>
      <c r="G9" s="21" t="s">
        <v>26</v>
      </c>
      <c r="H9" s="21" t="s">
        <v>27</v>
      </c>
      <c r="I9" s="17"/>
    </row>
    <row r="10" spans="1:9" ht="26" x14ac:dyDescent="0.3">
      <c r="A10" s="16"/>
      <c r="B10" s="5">
        <v>1</v>
      </c>
      <c r="C10" s="44" t="s">
        <v>128</v>
      </c>
      <c r="D10" s="41">
        <f>+'tarjeta reloj'!C10</f>
        <v>0.29166666666666669</v>
      </c>
      <c r="E10" s="41">
        <v>0.375</v>
      </c>
      <c r="F10" s="41">
        <f>+E10-D10</f>
        <v>8.3333333333333315E-2</v>
      </c>
      <c r="G10" s="45">
        <f>+H7</f>
        <v>1.9166666666666667</v>
      </c>
      <c r="H10" s="45">
        <f t="shared" ref="H10:H20" si="0">HOUR(F10)*G10 + MINUTE(F10)/60*G10 + SECOND(F10)/3600*G10</f>
        <v>3.8333333333333335</v>
      </c>
      <c r="I10" s="17"/>
    </row>
    <row r="11" spans="1:9" ht="20.5" customHeight="1" x14ac:dyDescent="0.3">
      <c r="A11" s="16"/>
      <c r="B11" s="5">
        <v>1</v>
      </c>
      <c r="C11" s="40" t="s">
        <v>129</v>
      </c>
      <c r="D11" s="41">
        <v>0.375</v>
      </c>
      <c r="E11" s="41">
        <v>0.625</v>
      </c>
      <c r="F11" s="41">
        <f>+E11-D11-C8</f>
        <v>0.20833333333333334</v>
      </c>
      <c r="G11" s="46">
        <f>+$G$10</f>
        <v>1.9166666666666667</v>
      </c>
      <c r="H11" s="45">
        <f t="shared" si="0"/>
        <v>9.5833333333333339</v>
      </c>
      <c r="I11" s="17"/>
    </row>
    <row r="12" spans="1:9" ht="26" x14ac:dyDescent="0.3">
      <c r="A12" s="16"/>
      <c r="B12" s="5">
        <v>1</v>
      </c>
      <c r="C12" s="44" t="s">
        <v>130</v>
      </c>
      <c r="D12" s="41">
        <v>0.625</v>
      </c>
      <c r="E12" s="41">
        <v>0.66666666666666663</v>
      </c>
      <c r="F12" s="41">
        <f>+E12-D12</f>
        <v>4.166666666666663E-2</v>
      </c>
      <c r="G12" s="46">
        <f>+$G$10</f>
        <v>1.9166666666666667</v>
      </c>
      <c r="H12" s="45">
        <f>HOUR(F12)*G12 + MINUTE(F12)/60*G12 + SECOND(F12)/3600*G12</f>
        <v>1.9166666666666667</v>
      </c>
      <c r="I12" s="17"/>
    </row>
    <row r="13" spans="1:9" ht="20.5" customHeight="1" x14ac:dyDescent="0.3">
      <c r="A13" s="16"/>
      <c r="B13" s="5">
        <v>1</v>
      </c>
      <c r="C13" s="40" t="s">
        <v>131</v>
      </c>
      <c r="D13" s="41">
        <v>0.29166666666666669</v>
      </c>
      <c r="E13" s="41">
        <v>0.66666666666666663</v>
      </c>
      <c r="F13" s="41">
        <f>+E13-D13-C8</f>
        <v>0.33333333333333326</v>
      </c>
      <c r="G13" s="46">
        <f t="shared" ref="G13:G18" si="1">+$G$10</f>
        <v>1.9166666666666667</v>
      </c>
      <c r="H13" s="45">
        <f t="shared" si="0"/>
        <v>15.333333333333334</v>
      </c>
      <c r="I13" s="17"/>
    </row>
    <row r="14" spans="1:9" ht="20.5" customHeight="1" x14ac:dyDescent="0.3">
      <c r="A14" s="16"/>
      <c r="B14" s="5">
        <v>1</v>
      </c>
      <c r="C14" s="40" t="s">
        <v>132</v>
      </c>
      <c r="D14" s="41">
        <v>0.29166666666666669</v>
      </c>
      <c r="E14" s="41">
        <v>0.45833333333333331</v>
      </c>
      <c r="F14" s="41">
        <f>+E14-D14</f>
        <v>0.16666666666666663</v>
      </c>
      <c r="G14" s="46">
        <f t="shared" si="1"/>
        <v>1.9166666666666667</v>
      </c>
      <c r="H14" s="45">
        <f t="shared" si="0"/>
        <v>7.666666666666667</v>
      </c>
      <c r="I14" s="17"/>
    </row>
    <row r="15" spans="1:9" ht="20.5" customHeight="1" x14ac:dyDescent="0.3">
      <c r="A15" s="16"/>
      <c r="B15" s="5">
        <v>1</v>
      </c>
      <c r="C15" s="40" t="s">
        <v>134</v>
      </c>
      <c r="D15" s="41">
        <v>0.45833333333333331</v>
      </c>
      <c r="E15" s="41">
        <v>0.66666666666666663</v>
      </c>
      <c r="F15" s="41">
        <f>+E15-D15-C8</f>
        <v>0.16666666666666666</v>
      </c>
      <c r="G15" s="46">
        <f t="shared" si="1"/>
        <v>1.9166666666666667</v>
      </c>
      <c r="H15" s="45">
        <f t="shared" si="0"/>
        <v>7.666666666666667</v>
      </c>
      <c r="I15" s="17"/>
    </row>
    <row r="16" spans="1:9" ht="20.5" customHeight="1" x14ac:dyDescent="0.3">
      <c r="A16" s="16"/>
      <c r="B16" s="5">
        <v>1</v>
      </c>
      <c r="C16" s="40" t="s">
        <v>133</v>
      </c>
      <c r="D16" s="41">
        <v>0.29166666666666669</v>
      </c>
      <c r="E16" s="41">
        <v>0.66666666666666663</v>
      </c>
      <c r="F16" s="41">
        <f>+E16-D16-$C$8</f>
        <v>0.33333333333333326</v>
      </c>
      <c r="G16" s="46">
        <f t="shared" si="1"/>
        <v>1.9166666666666667</v>
      </c>
      <c r="H16" s="45">
        <f t="shared" si="0"/>
        <v>15.333333333333334</v>
      </c>
      <c r="I16" s="17"/>
    </row>
    <row r="17" spans="1:9" ht="20.5" customHeight="1" x14ac:dyDescent="0.3">
      <c r="A17" s="16"/>
      <c r="B17" s="5">
        <v>1</v>
      </c>
      <c r="C17" s="40" t="s">
        <v>135</v>
      </c>
      <c r="D17" s="41">
        <v>0.66666666666666663</v>
      </c>
      <c r="E17" s="41">
        <v>0.79166666666666663</v>
      </c>
      <c r="F17" s="41">
        <f>+E17-D17</f>
        <v>0.125</v>
      </c>
      <c r="G17" s="46">
        <f>+$G$10*1.5</f>
        <v>2.875</v>
      </c>
      <c r="H17" s="45">
        <f t="shared" si="0"/>
        <v>8.625</v>
      </c>
      <c r="I17" s="17"/>
    </row>
    <row r="18" spans="1:9" ht="20.5" customHeight="1" x14ac:dyDescent="0.3">
      <c r="A18" s="16"/>
      <c r="B18" s="5">
        <v>1</v>
      </c>
      <c r="C18" s="40" t="s">
        <v>136</v>
      </c>
      <c r="D18" s="41">
        <v>0.29166666666666669</v>
      </c>
      <c r="E18" s="41">
        <v>0.66666666666666663</v>
      </c>
      <c r="F18" s="41">
        <f>+E18-D18-$C$8</f>
        <v>0.33333333333333326</v>
      </c>
      <c r="G18" s="46">
        <f t="shared" si="1"/>
        <v>1.9166666666666667</v>
      </c>
      <c r="H18" s="45">
        <f t="shared" si="0"/>
        <v>15.333333333333334</v>
      </c>
      <c r="I18" s="17"/>
    </row>
    <row r="19" spans="1:9" ht="20.5" customHeight="1" x14ac:dyDescent="0.3">
      <c r="A19" s="16"/>
      <c r="B19" s="5">
        <v>1</v>
      </c>
      <c r="C19" s="40" t="s">
        <v>137</v>
      </c>
      <c r="D19" s="41">
        <v>0.66666666666666663</v>
      </c>
      <c r="E19" s="41">
        <v>0.79166666666666663</v>
      </c>
      <c r="F19" s="41">
        <f>+E19-D19</f>
        <v>0.125</v>
      </c>
      <c r="G19" s="46">
        <f>+$G$10*1.5</f>
        <v>2.875</v>
      </c>
      <c r="H19" s="45">
        <f t="shared" si="0"/>
        <v>8.625</v>
      </c>
      <c r="I19" s="17"/>
    </row>
    <row r="20" spans="1:9" x14ac:dyDescent="0.3">
      <c r="A20" s="16"/>
      <c r="B20" s="5">
        <v>1</v>
      </c>
      <c r="C20" s="44" t="s">
        <v>138</v>
      </c>
      <c r="D20" s="41">
        <v>0.29166666666666669</v>
      </c>
      <c r="E20" s="41">
        <v>0.5</v>
      </c>
      <c r="F20" s="41">
        <f>+E20-D20</f>
        <v>0.20833333333333331</v>
      </c>
      <c r="G20" s="46">
        <f>+$G$10*2</f>
        <v>3.8333333333333335</v>
      </c>
      <c r="H20" s="45">
        <f t="shared" si="0"/>
        <v>19.166666666666668</v>
      </c>
      <c r="I20" s="17"/>
    </row>
    <row r="21" spans="1:9" ht="20.5" customHeight="1" x14ac:dyDescent="0.3">
      <c r="A21" s="16"/>
      <c r="B21" s="74" t="s">
        <v>10</v>
      </c>
      <c r="C21" s="75"/>
      <c r="D21" s="75"/>
      <c r="E21" s="76"/>
      <c r="F21" s="41">
        <f>+SUM(F10:F20)</f>
        <v>2.1249999999999996</v>
      </c>
      <c r="G21" s="5"/>
      <c r="H21" s="46">
        <f>+SUM(H10:H20)</f>
        <v>113.08333333333334</v>
      </c>
      <c r="I21" s="17"/>
    </row>
    <row r="22" spans="1:9" x14ac:dyDescent="0.3">
      <c r="A22" s="16"/>
      <c r="I22" s="17"/>
    </row>
    <row r="23" spans="1:9" ht="14.5" customHeight="1" x14ac:dyDescent="0.3">
      <c r="A23" s="16"/>
      <c r="C23" s="77" t="s">
        <v>28</v>
      </c>
      <c r="D23" s="77"/>
      <c r="E23" s="77"/>
      <c r="F23" s="77"/>
      <c r="I23" s="17"/>
    </row>
    <row r="24" spans="1:9" ht="14.5" customHeight="1" x14ac:dyDescent="0.3">
      <c r="A24" s="16"/>
      <c r="C24" s="59" t="s">
        <v>82</v>
      </c>
      <c r="D24" s="59"/>
      <c r="E24" s="59"/>
      <c r="F24" s="59"/>
      <c r="I24" s="17"/>
    </row>
    <row r="25" spans="1:9" ht="14.5" customHeight="1" x14ac:dyDescent="0.3">
      <c r="A25" s="16"/>
      <c r="C25" s="59" t="s">
        <v>29</v>
      </c>
      <c r="D25" s="59"/>
      <c r="E25" s="59"/>
      <c r="F25" s="59"/>
      <c r="I25" s="17"/>
    </row>
    <row r="26" spans="1:9" ht="7.5" customHeight="1" thickBot="1" x14ac:dyDescent="0.35">
      <c r="A26" s="18"/>
      <c r="B26" s="19"/>
      <c r="C26" s="19"/>
      <c r="D26" s="19"/>
      <c r="E26" s="19"/>
      <c r="F26" s="19"/>
      <c r="G26" s="19"/>
      <c r="H26" s="19"/>
      <c r="I26" s="20"/>
    </row>
    <row r="27" spans="1:9" ht="26.5" customHeight="1" thickBot="1" x14ac:dyDescent="0.35"/>
    <row r="28" spans="1:9" x14ac:dyDescent="0.3">
      <c r="A28" s="13"/>
      <c r="B28" s="14"/>
      <c r="C28" s="14"/>
      <c r="D28" s="14"/>
      <c r="E28" s="14"/>
      <c r="F28" s="14"/>
      <c r="G28" s="14"/>
      <c r="H28" s="14"/>
      <c r="I28" s="15"/>
    </row>
    <row r="29" spans="1:9" x14ac:dyDescent="0.3">
      <c r="A29" s="16"/>
      <c r="B29" s="59" t="s">
        <v>17</v>
      </c>
      <c r="C29" s="59"/>
      <c r="D29" s="59"/>
      <c r="E29" s="59"/>
      <c r="F29" s="59"/>
      <c r="G29" s="59"/>
      <c r="H29" s="59"/>
      <c r="I29" s="17"/>
    </row>
    <row r="30" spans="1:9" x14ac:dyDescent="0.3">
      <c r="A30" s="16"/>
      <c r="B30" s="59" t="s">
        <v>19</v>
      </c>
      <c r="C30" s="59"/>
      <c r="D30" s="59"/>
      <c r="E30" s="59"/>
      <c r="F30" s="59"/>
      <c r="G30" s="59"/>
      <c r="H30" s="59"/>
      <c r="I30" s="17"/>
    </row>
    <row r="31" spans="1:9" x14ac:dyDescent="0.3">
      <c r="A31" s="16"/>
      <c r="I31" s="17"/>
    </row>
    <row r="32" spans="1:9" x14ac:dyDescent="0.3">
      <c r="A32" s="16"/>
      <c r="B32" s="2" t="s">
        <v>5</v>
      </c>
      <c r="C32" s="1">
        <f>+DATOS!C35</f>
        <v>0</v>
      </c>
      <c r="I32" s="17"/>
    </row>
    <row r="33" spans="1:9" x14ac:dyDescent="0.3">
      <c r="A33" s="16"/>
      <c r="B33" s="2" t="s">
        <v>111</v>
      </c>
      <c r="C33" s="59" t="str">
        <f>+VLOOKUP(H33,DATOS!$A$10:$B$12,2)</f>
        <v>Suarez Carlos</v>
      </c>
      <c r="D33" s="59"/>
      <c r="F33" s="2" t="s">
        <v>1</v>
      </c>
      <c r="H33" s="37" t="s">
        <v>116</v>
      </c>
      <c r="I33" s="17"/>
    </row>
    <row r="34" spans="1:9" x14ac:dyDescent="0.3">
      <c r="A34" s="16"/>
      <c r="B34" s="2" t="s">
        <v>20</v>
      </c>
      <c r="C34" s="1" t="str">
        <f>+VLOOKUP(H33,DATOS!$A$10:$C$12,3)</f>
        <v>Cortador de tela</v>
      </c>
      <c r="F34" s="2" t="s">
        <v>21</v>
      </c>
      <c r="H34" s="1">
        <f>+DATOS!D11/240</f>
        <v>2.2916666666666665</v>
      </c>
      <c r="I34" s="17"/>
    </row>
    <row r="35" spans="1:9" x14ac:dyDescent="0.3">
      <c r="A35" s="16"/>
      <c r="B35" s="1" t="s">
        <v>112</v>
      </c>
      <c r="C35" s="41">
        <v>4.1666666666666664E-2</v>
      </c>
      <c r="I35" s="17"/>
    </row>
    <row r="36" spans="1:9" ht="39" x14ac:dyDescent="0.3">
      <c r="A36" s="16"/>
      <c r="B36" s="21" t="s">
        <v>81</v>
      </c>
      <c r="C36" s="21" t="s">
        <v>22</v>
      </c>
      <c r="D36" s="21" t="s">
        <v>23</v>
      </c>
      <c r="E36" s="21" t="s">
        <v>24</v>
      </c>
      <c r="F36" s="21" t="s">
        <v>25</v>
      </c>
      <c r="G36" s="21" t="s">
        <v>26</v>
      </c>
      <c r="H36" s="21" t="s">
        <v>27</v>
      </c>
      <c r="I36" s="17"/>
    </row>
    <row r="37" spans="1:9" ht="26" x14ac:dyDescent="0.3">
      <c r="A37" s="16"/>
      <c r="B37" s="5">
        <v>1</v>
      </c>
      <c r="C37" s="44" t="s">
        <v>128</v>
      </c>
      <c r="D37" s="41">
        <f>+'tarjeta reloj'!C37</f>
        <v>0.29166666666666669</v>
      </c>
      <c r="E37" s="41">
        <v>0.375</v>
      </c>
      <c r="F37" s="41">
        <f>+E37-D37</f>
        <v>8.3333333333333315E-2</v>
      </c>
      <c r="G37" s="46">
        <f>+$H$34</f>
        <v>2.2916666666666665</v>
      </c>
      <c r="H37" s="45">
        <f t="shared" ref="H37:H46" si="2">HOUR(F37)*G37 + MINUTE(F37)/60*G37 + SECOND(F37)/3600*G37</f>
        <v>4.583333333333333</v>
      </c>
      <c r="I37" s="17"/>
    </row>
    <row r="38" spans="1:9" x14ac:dyDescent="0.3">
      <c r="A38" s="16"/>
      <c r="B38" s="5">
        <v>1</v>
      </c>
      <c r="C38" s="40" t="s">
        <v>129</v>
      </c>
      <c r="D38" s="41">
        <v>0.375</v>
      </c>
      <c r="E38" s="41">
        <v>0.66666666666666663</v>
      </c>
      <c r="F38" s="41">
        <f>+E38-D38-C35</f>
        <v>0.24999999999999997</v>
      </c>
      <c r="G38" s="46">
        <f t="shared" ref="G38:G44" si="3">+$H$34</f>
        <v>2.2916666666666665</v>
      </c>
      <c r="H38" s="45">
        <f t="shared" si="2"/>
        <v>13.75</v>
      </c>
      <c r="I38" s="17"/>
    </row>
    <row r="39" spans="1:9" x14ac:dyDescent="0.3">
      <c r="A39" s="16"/>
      <c r="B39" s="5">
        <v>1</v>
      </c>
      <c r="C39" s="40" t="s">
        <v>131</v>
      </c>
      <c r="D39" s="41">
        <v>0.29166666666666669</v>
      </c>
      <c r="E39" s="41">
        <v>0.66666666666666663</v>
      </c>
      <c r="F39" s="41">
        <f>+E39-D39-C35</f>
        <v>0.33333333333333326</v>
      </c>
      <c r="G39" s="46">
        <f t="shared" si="3"/>
        <v>2.2916666666666665</v>
      </c>
      <c r="H39" s="45">
        <f t="shared" si="2"/>
        <v>18.333333333333332</v>
      </c>
      <c r="I39" s="17"/>
    </row>
    <row r="40" spans="1:9" x14ac:dyDescent="0.3">
      <c r="A40" s="16"/>
      <c r="B40" s="5">
        <v>1</v>
      </c>
      <c r="C40" s="40" t="s">
        <v>132</v>
      </c>
      <c r="D40" s="41">
        <v>0.29166666666666669</v>
      </c>
      <c r="E40" s="41">
        <v>0.45833333333333331</v>
      </c>
      <c r="F40" s="41">
        <f>+E40-D40</f>
        <v>0.16666666666666663</v>
      </c>
      <c r="G40" s="46">
        <f t="shared" si="3"/>
        <v>2.2916666666666665</v>
      </c>
      <c r="H40" s="45">
        <f t="shared" si="2"/>
        <v>9.1666666666666661</v>
      </c>
      <c r="I40" s="17"/>
    </row>
    <row r="41" spans="1:9" x14ac:dyDescent="0.3">
      <c r="A41" s="16"/>
      <c r="B41" s="5">
        <v>1</v>
      </c>
      <c r="C41" s="40" t="s">
        <v>134</v>
      </c>
      <c r="D41" s="41">
        <v>0.45833333333333331</v>
      </c>
      <c r="E41" s="41">
        <v>0.66666666666666663</v>
      </c>
      <c r="F41" s="41">
        <f>+E41-D41-C35</f>
        <v>0.16666666666666666</v>
      </c>
      <c r="G41" s="46">
        <f t="shared" si="3"/>
        <v>2.2916666666666665</v>
      </c>
      <c r="H41" s="45">
        <f t="shared" si="2"/>
        <v>9.1666666666666661</v>
      </c>
      <c r="I41" s="17"/>
    </row>
    <row r="42" spans="1:9" x14ac:dyDescent="0.3">
      <c r="A42" s="16"/>
      <c r="B42" s="5">
        <v>1</v>
      </c>
      <c r="C42" s="40" t="s">
        <v>133</v>
      </c>
      <c r="D42" s="41">
        <v>0.29166666666666669</v>
      </c>
      <c r="E42" s="41">
        <v>0.66666666666666663</v>
      </c>
      <c r="F42" s="41">
        <f>+E42-D42-$C$8</f>
        <v>0.33333333333333326</v>
      </c>
      <c r="G42" s="46">
        <f t="shared" si="3"/>
        <v>2.2916666666666665</v>
      </c>
      <c r="H42" s="45">
        <f t="shared" si="2"/>
        <v>18.333333333333332</v>
      </c>
      <c r="I42" s="17"/>
    </row>
    <row r="43" spans="1:9" x14ac:dyDescent="0.3">
      <c r="A43" s="16"/>
      <c r="B43" s="5">
        <v>1</v>
      </c>
      <c r="C43" s="40" t="s">
        <v>135</v>
      </c>
      <c r="D43" s="41">
        <v>0.66666666666666663</v>
      </c>
      <c r="E43" s="41">
        <v>0.79166666666666663</v>
      </c>
      <c r="F43" s="41">
        <f>+E43-D43</f>
        <v>0.125</v>
      </c>
      <c r="G43" s="46">
        <f>+$H$34*1.5</f>
        <v>3.4375</v>
      </c>
      <c r="H43" s="45">
        <f t="shared" si="2"/>
        <v>10.3125</v>
      </c>
      <c r="I43" s="17"/>
    </row>
    <row r="44" spans="1:9" x14ac:dyDescent="0.3">
      <c r="A44" s="16"/>
      <c r="B44" s="5">
        <v>1</v>
      </c>
      <c r="C44" s="40" t="s">
        <v>136</v>
      </c>
      <c r="D44" s="41">
        <v>0.29166666666666669</v>
      </c>
      <c r="E44" s="41">
        <v>0.66666666666666663</v>
      </c>
      <c r="F44" s="41">
        <f>+E44-D44-$C$8</f>
        <v>0.33333333333333326</v>
      </c>
      <c r="G44" s="46">
        <f t="shared" si="3"/>
        <v>2.2916666666666665</v>
      </c>
      <c r="H44" s="45">
        <f t="shared" si="2"/>
        <v>18.333333333333332</v>
      </c>
      <c r="I44" s="17"/>
    </row>
    <row r="45" spans="1:9" x14ac:dyDescent="0.3">
      <c r="A45" s="16"/>
      <c r="B45" s="5">
        <v>1</v>
      </c>
      <c r="C45" s="40" t="s">
        <v>137</v>
      </c>
      <c r="D45" s="41">
        <v>0.66666666666666663</v>
      </c>
      <c r="E45" s="41">
        <v>0.79166666666666663</v>
      </c>
      <c r="F45" s="41">
        <f>+E45-D45</f>
        <v>0.125</v>
      </c>
      <c r="G45" s="46">
        <f>+$H$34*1.5</f>
        <v>3.4375</v>
      </c>
      <c r="H45" s="45">
        <f t="shared" si="2"/>
        <v>10.3125</v>
      </c>
      <c r="I45" s="17"/>
    </row>
    <row r="46" spans="1:9" x14ac:dyDescent="0.3">
      <c r="A46" s="16"/>
      <c r="B46" s="5">
        <v>1</v>
      </c>
      <c r="C46" s="44" t="s">
        <v>138</v>
      </c>
      <c r="D46" s="41">
        <v>0.29166666666666669</v>
      </c>
      <c r="E46" s="41">
        <v>0.5</v>
      </c>
      <c r="F46" s="41">
        <f>+E46-D46</f>
        <v>0.20833333333333331</v>
      </c>
      <c r="G46" s="46">
        <f>+$H$34*2</f>
        <v>4.583333333333333</v>
      </c>
      <c r="H46" s="45">
        <f t="shared" si="2"/>
        <v>22.916666666666664</v>
      </c>
      <c r="I46" s="17"/>
    </row>
    <row r="47" spans="1:9" x14ac:dyDescent="0.3">
      <c r="A47" s="16"/>
      <c r="B47" s="74" t="s">
        <v>10</v>
      </c>
      <c r="C47" s="75"/>
      <c r="D47" s="75"/>
      <c r="E47" s="76"/>
      <c r="F47" s="41">
        <f>+SUM(F37:F46)</f>
        <v>2.1249999999999996</v>
      </c>
      <c r="G47" s="5"/>
      <c r="H47" s="46">
        <f>+SUM(H37:H46)</f>
        <v>135.20833333333331</v>
      </c>
      <c r="I47" s="17"/>
    </row>
    <row r="48" spans="1:9" x14ac:dyDescent="0.3">
      <c r="A48" s="16"/>
      <c r="I48" s="17"/>
    </row>
    <row r="49" spans="1:9" x14ac:dyDescent="0.3">
      <c r="A49" s="16"/>
      <c r="C49" s="77" t="s">
        <v>28</v>
      </c>
      <c r="D49" s="77"/>
      <c r="E49" s="77"/>
      <c r="F49" s="77"/>
      <c r="I49" s="17"/>
    </row>
    <row r="50" spans="1:9" x14ac:dyDescent="0.3">
      <c r="A50" s="16"/>
      <c r="C50" s="59" t="s">
        <v>82</v>
      </c>
      <c r="D50" s="59"/>
      <c r="E50" s="59"/>
      <c r="F50" s="59"/>
      <c r="I50" s="17"/>
    </row>
    <row r="51" spans="1:9" x14ac:dyDescent="0.3">
      <c r="A51" s="16"/>
      <c r="C51" s="59" t="s">
        <v>29</v>
      </c>
      <c r="D51" s="59"/>
      <c r="E51" s="59"/>
      <c r="F51" s="59"/>
      <c r="I51" s="17"/>
    </row>
    <row r="52" spans="1:9" ht="13.5" thickBot="1" x14ac:dyDescent="0.35">
      <c r="A52" s="18"/>
      <c r="B52" s="19"/>
      <c r="C52" s="19"/>
      <c r="D52" s="19"/>
      <c r="E52" s="19"/>
      <c r="F52" s="19"/>
      <c r="G52" s="19"/>
      <c r="H52" s="19"/>
      <c r="I52" s="20"/>
    </row>
    <row r="53" spans="1:9" ht="13.5" thickBot="1" x14ac:dyDescent="0.35">
      <c r="A53" s="18"/>
      <c r="B53" s="19"/>
      <c r="C53" s="19"/>
      <c r="D53" s="19"/>
      <c r="E53" s="19"/>
      <c r="F53" s="19"/>
      <c r="G53" s="19"/>
      <c r="H53" s="19"/>
      <c r="I53" s="20"/>
    </row>
    <row r="54" spans="1:9" x14ac:dyDescent="0.3">
      <c r="A54" s="13"/>
      <c r="B54" s="14"/>
      <c r="C54" s="14"/>
      <c r="D54" s="14"/>
      <c r="E54" s="14"/>
      <c r="F54" s="14"/>
      <c r="G54" s="14"/>
      <c r="H54" s="14"/>
      <c r="I54" s="15"/>
    </row>
    <row r="55" spans="1:9" x14ac:dyDescent="0.3">
      <c r="A55" s="16"/>
      <c r="B55" s="59" t="s">
        <v>17</v>
      </c>
      <c r="C55" s="59"/>
      <c r="D55" s="59"/>
      <c r="E55" s="59"/>
      <c r="F55" s="59"/>
      <c r="G55" s="59"/>
      <c r="H55" s="59"/>
      <c r="I55" s="17"/>
    </row>
    <row r="56" spans="1:9" x14ac:dyDescent="0.3">
      <c r="A56" s="16"/>
      <c r="B56" s="59" t="s">
        <v>19</v>
      </c>
      <c r="C56" s="59"/>
      <c r="D56" s="59"/>
      <c r="E56" s="59"/>
      <c r="F56" s="59"/>
      <c r="G56" s="59"/>
      <c r="H56" s="59"/>
      <c r="I56" s="17"/>
    </row>
    <row r="57" spans="1:9" x14ac:dyDescent="0.3">
      <c r="A57" s="16"/>
      <c r="I57" s="17"/>
    </row>
    <row r="58" spans="1:9" x14ac:dyDescent="0.3">
      <c r="A58" s="16"/>
      <c r="B58" s="2" t="s">
        <v>5</v>
      </c>
      <c r="C58" s="1">
        <f>+DATOS!C61</f>
        <v>0</v>
      </c>
      <c r="I58" s="17"/>
    </row>
    <row r="59" spans="1:9" x14ac:dyDescent="0.3">
      <c r="A59" s="16"/>
      <c r="B59" s="2" t="s">
        <v>111</v>
      </c>
      <c r="C59" s="59" t="str">
        <f>+VLOOKUP(H59,DATOS!$A$10:$B$12,2)</f>
        <v>Yambay Fernanda</v>
      </c>
      <c r="D59" s="59"/>
      <c r="F59" s="2" t="s">
        <v>1</v>
      </c>
      <c r="H59" s="37" t="s">
        <v>104</v>
      </c>
      <c r="I59" s="17"/>
    </row>
    <row r="60" spans="1:9" x14ac:dyDescent="0.3">
      <c r="A60" s="16"/>
      <c r="B60" s="2" t="s">
        <v>20</v>
      </c>
      <c r="C60" s="1" t="str">
        <f>+VLOOKUP(H59,DATOS!$A$10:$C$12,3)</f>
        <v>Técnico de Mantenimiento</v>
      </c>
      <c r="F60" s="2" t="s">
        <v>21</v>
      </c>
      <c r="H60" s="1">
        <f>+DATOS!D12/240</f>
        <v>3.3333333333333335</v>
      </c>
      <c r="I60" s="17"/>
    </row>
    <row r="61" spans="1:9" x14ac:dyDescent="0.3">
      <c r="A61" s="16"/>
      <c r="B61" s="1" t="s">
        <v>112</v>
      </c>
      <c r="C61" s="41">
        <v>4.1666666666666664E-2</v>
      </c>
      <c r="I61" s="17"/>
    </row>
    <row r="62" spans="1:9" ht="39" x14ac:dyDescent="0.3">
      <c r="A62" s="16"/>
      <c r="B62" s="21" t="s">
        <v>81</v>
      </c>
      <c r="C62" s="21" t="s">
        <v>22</v>
      </c>
      <c r="D62" s="21" t="s">
        <v>23</v>
      </c>
      <c r="E62" s="21" t="s">
        <v>24</v>
      </c>
      <c r="F62" s="21" t="s">
        <v>25</v>
      </c>
      <c r="G62" s="21" t="s">
        <v>26</v>
      </c>
      <c r="H62" s="21" t="s">
        <v>27</v>
      </c>
      <c r="I62" s="17"/>
    </row>
    <row r="63" spans="1:9" x14ac:dyDescent="0.3">
      <c r="A63" s="16"/>
      <c r="B63" s="5">
        <v>1</v>
      </c>
      <c r="C63" s="40" t="s">
        <v>129</v>
      </c>
      <c r="D63" s="41">
        <v>0.33333333333333331</v>
      </c>
      <c r="E63" s="41">
        <v>0.70833333333333337</v>
      </c>
      <c r="F63" s="41">
        <f>+E63-D63-C61</f>
        <v>0.33333333333333337</v>
      </c>
      <c r="G63" s="46">
        <f>$H$60</f>
        <v>3.3333333333333335</v>
      </c>
      <c r="H63" s="45">
        <f t="shared" ref="H63:H70" si="4">HOUR(F63)*G63 + MINUTE(F63)/60*G63 + SECOND(F63)/3600*G63</f>
        <v>26.666666666666668</v>
      </c>
      <c r="I63" s="17"/>
    </row>
    <row r="64" spans="1:9" x14ac:dyDescent="0.3">
      <c r="A64" s="16"/>
      <c r="B64" s="5">
        <v>1</v>
      </c>
      <c r="C64" s="40" t="s">
        <v>131</v>
      </c>
      <c r="D64" s="41">
        <v>0.33333333333333331</v>
      </c>
      <c r="E64" s="41">
        <v>0.70833333333333337</v>
      </c>
      <c r="F64" s="41">
        <f>+E64-D64-C61</f>
        <v>0.33333333333333337</v>
      </c>
      <c r="G64" s="46">
        <f t="shared" ref="G64:G70" si="5">$H$60</f>
        <v>3.3333333333333335</v>
      </c>
      <c r="H64" s="45">
        <f t="shared" si="4"/>
        <v>26.666666666666668</v>
      </c>
      <c r="I64" s="17"/>
    </row>
    <row r="65" spans="1:9" x14ac:dyDescent="0.3">
      <c r="A65" s="16"/>
      <c r="B65" s="5">
        <v>1</v>
      </c>
      <c r="C65" s="40" t="s">
        <v>132</v>
      </c>
      <c r="D65" s="41">
        <v>0.33333333333333331</v>
      </c>
      <c r="E65" s="41">
        <v>0.45833333333333331</v>
      </c>
      <c r="F65" s="41">
        <f>+E65-D65</f>
        <v>0.125</v>
      </c>
      <c r="G65" s="46">
        <f t="shared" si="5"/>
        <v>3.3333333333333335</v>
      </c>
      <c r="H65" s="45">
        <f t="shared" si="4"/>
        <v>10</v>
      </c>
      <c r="I65" s="17"/>
    </row>
    <row r="66" spans="1:9" x14ac:dyDescent="0.3">
      <c r="A66" s="16"/>
      <c r="B66" s="5">
        <v>1</v>
      </c>
      <c r="C66" s="40" t="s">
        <v>134</v>
      </c>
      <c r="D66" s="41">
        <v>0.45833333333333331</v>
      </c>
      <c r="E66" s="41">
        <v>0.70833333333333337</v>
      </c>
      <c r="F66" s="41">
        <f>+E66-D66-C61</f>
        <v>0.2083333333333334</v>
      </c>
      <c r="G66" s="46">
        <f t="shared" si="5"/>
        <v>3.3333333333333335</v>
      </c>
      <c r="H66" s="45">
        <f t="shared" si="4"/>
        <v>16.666666666666668</v>
      </c>
      <c r="I66" s="17"/>
    </row>
    <row r="67" spans="1:9" x14ac:dyDescent="0.3">
      <c r="A67" s="16"/>
      <c r="B67" s="5">
        <v>1</v>
      </c>
      <c r="C67" s="40" t="s">
        <v>133</v>
      </c>
      <c r="D67" s="41">
        <v>0.33333333333333331</v>
      </c>
      <c r="E67" s="41">
        <v>0.70833333333333337</v>
      </c>
      <c r="F67" s="41">
        <f>+E67-D67-$C$8</f>
        <v>0.33333333333333337</v>
      </c>
      <c r="G67" s="46">
        <f t="shared" si="5"/>
        <v>3.3333333333333335</v>
      </c>
      <c r="H67" s="45">
        <f t="shared" si="4"/>
        <v>26.666666666666668</v>
      </c>
      <c r="I67" s="17"/>
    </row>
    <row r="68" spans="1:9" x14ac:dyDescent="0.3">
      <c r="A68" s="16"/>
      <c r="B68" s="5">
        <v>1</v>
      </c>
      <c r="C68" s="44" t="s">
        <v>139</v>
      </c>
      <c r="D68" s="41">
        <v>0.16666666666666666</v>
      </c>
      <c r="E68" s="41">
        <v>0.25</v>
      </c>
      <c r="F68" s="41">
        <f>+E68-D68</f>
        <v>8.3333333333333343E-2</v>
      </c>
      <c r="G68" s="46">
        <f>$H$60*2</f>
        <v>6.666666666666667</v>
      </c>
      <c r="H68" s="45">
        <f>HOUR(F68)*G68 + MINUTE(F68)/60*G68 + SECOND(F68)/3600*G68</f>
        <v>13.333333333333334</v>
      </c>
      <c r="I68" s="17"/>
    </row>
    <row r="69" spans="1:9" x14ac:dyDescent="0.3">
      <c r="A69" s="16"/>
      <c r="B69" s="5">
        <v>1</v>
      </c>
      <c r="C69" s="40" t="s">
        <v>137</v>
      </c>
      <c r="D69" s="41">
        <v>0.25</v>
      </c>
      <c r="E69" s="41">
        <v>0.33333333333333331</v>
      </c>
      <c r="F69" s="41">
        <f>+E69-D69</f>
        <v>8.3333333333333315E-2</v>
      </c>
      <c r="G69" s="46">
        <f>$H$60*1.5</f>
        <v>5</v>
      </c>
      <c r="H69" s="45">
        <f>HOUR(F69)*G69 + MINUTE(F69)/60*G69 + SECOND(F69)/3600*G69</f>
        <v>10</v>
      </c>
      <c r="I69" s="17"/>
    </row>
    <row r="70" spans="1:9" x14ac:dyDescent="0.3">
      <c r="A70" s="16"/>
      <c r="B70" s="5">
        <v>1</v>
      </c>
      <c r="C70" s="40" t="s">
        <v>136</v>
      </c>
      <c r="D70" s="41">
        <v>0.33333333333333331</v>
      </c>
      <c r="E70" s="41">
        <v>0.70833333333333337</v>
      </c>
      <c r="F70" s="41">
        <f>+E70-D70-$C$8</f>
        <v>0.33333333333333337</v>
      </c>
      <c r="G70" s="46">
        <f t="shared" si="5"/>
        <v>3.3333333333333335</v>
      </c>
      <c r="H70" s="45">
        <f t="shared" si="4"/>
        <v>26.666666666666668</v>
      </c>
      <c r="I70" s="17"/>
    </row>
    <row r="71" spans="1:9" x14ac:dyDescent="0.3">
      <c r="A71" s="16"/>
      <c r="B71" s="74" t="s">
        <v>10</v>
      </c>
      <c r="C71" s="75"/>
      <c r="D71" s="75"/>
      <c r="E71" s="76"/>
      <c r="F71" s="41">
        <f>+SUM(F63:F70)</f>
        <v>1.8333333333333335</v>
      </c>
      <c r="G71" s="5"/>
      <c r="H71" s="46">
        <f>+SUM(H63:H70)</f>
        <v>156.66666666666666</v>
      </c>
      <c r="I71" s="17"/>
    </row>
    <row r="72" spans="1:9" x14ac:dyDescent="0.3">
      <c r="A72" s="16"/>
      <c r="I72" s="17"/>
    </row>
    <row r="73" spans="1:9" x14ac:dyDescent="0.3">
      <c r="A73" s="16"/>
      <c r="C73" s="77" t="s">
        <v>28</v>
      </c>
      <c r="D73" s="77"/>
      <c r="E73" s="77"/>
      <c r="F73" s="77"/>
      <c r="I73" s="17"/>
    </row>
    <row r="74" spans="1:9" x14ac:dyDescent="0.3">
      <c r="A74" s="16"/>
      <c r="C74" s="59" t="s">
        <v>82</v>
      </c>
      <c r="D74" s="59"/>
      <c r="E74" s="59"/>
      <c r="F74" s="59"/>
      <c r="I74" s="17"/>
    </row>
    <row r="75" spans="1:9" x14ac:dyDescent="0.3">
      <c r="A75" s="16"/>
      <c r="C75" s="59" t="s">
        <v>29</v>
      </c>
      <c r="D75" s="59"/>
      <c r="E75" s="59"/>
      <c r="F75" s="59"/>
      <c r="I75" s="17"/>
    </row>
    <row r="76" spans="1:9" ht="13.5" thickBot="1" x14ac:dyDescent="0.35">
      <c r="A76" s="18"/>
      <c r="B76" s="19"/>
      <c r="C76" s="19"/>
      <c r="D76" s="19"/>
      <c r="E76" s="19"/>
      <c r="F76" s="19"/>
      <c r="G76" s="19"/>
      <c r="H76" s="19"/>
      <c r="I76" s="20"/>
    </row>
  </sheetData>
  <mergeCells count="21">
    <mergeCell ref="C50:F50"/>
    <mergeCell ref="C51:F51"/>
    <mergeCell ref="B47:E47"/>
    <mergeCell ref="C49:F49"/>
    <mergeCell ref="B2:H2"/>
    <mergeCell ref="B3:H3"/>
    <mergeCell ref="B21:E21"/>
    <mergeCell ref="C25:F25"/>
    <mergeCell ref="C23:F23"/>
    <mergeCell ref="C24:F24"/>
    <mergeCell ref="B29:H29"/>
    <mergeCell ref="B30:H30"/>
    <mergeCell ref="C6:D6"/>
    <mergeCell ref="C33:D33"/>
    <mergeCell ref="C74:F74"/>
    <mergeCell ref="C75:F75"/>
    <mergeCell ref="B55:H55"/>
    <mergeCell ref="B56:H56"/>
    <mergeCell ref="C59:D59"/>
    <mergeCell ref="B71:E71"/>
    <mergeCell ref="C73:F73"/>
  </mergeCells>
  <pageMargins left="0.23622047244094488" right="0.23622047244094488" top="0.3543307086614173" bottom="0.354330708661417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8815-284D-423F-9E30-33F318F92874}">
  <dimension ref="A1:K15"/>
  <sheetViews>
    <sheetView workbookViewId="0">
      <selection activeCell="H1" sqref="H1"/>
    </sheetView>
  </sheetViews>
  <sheetFormatPr baseColWidth="10" defaultRowHeight="14.5" x14ac:dyDescent="0.35"/>
  <cols>
    <col min="1" max="1" width="2.81640625" style="23" customWidth="1"/>
    <col min="2" max="2" width="4.1796875" style="23" customWidth="1"/>
    <col min="3" max="3" width="22.36328125" style="23" bestFit="1" customWidth="1"/>
    <col min="4" max="4" width="9.54296875" style="23" bestFit="1" customWidth="1"/>
    <col min="5" max="5" width="16.36328125" style="23" customWidth="1"/>
    <col min="6" max="6" width="14.54296875" style="23" customWidth="1"/>
    <col min="7" max="7" width="8.08984375" style="23" bestFit="1" customWidth="1"/>
    <col min="8" max="8" width="9.26953125" style="23" customWidth="1"/>
    <col min="9" max="9" width="3.08984375" style="23" customWidth="1"/>
    <col min="10" max="16384" width="10.90625" style="23"/>
  </cols>
  <sheetData>
    <row r="1" spans="1:11" x14ac:dyDescent="0.35">
      <c r="A1" s="13"/>
      <c r="B1" s="14"/>
      <c r="C1" s="14"/>
      <c r="D1" s="14"/>
      <c r="E1" s="14"/>
      <c r="F1" s="14"/>
      <c r="G1" s="14"/>
      <c r="H1" s="14"/>
      <c r="I1" s="15"/>
    </row>
    <row r="2" spans="1:11" x14ac:dyDescent="0.35">
      <c r="A2" s="16"/>
      <c r="B2" s="59" t="s">
        <v>18</v>
      </c>
      <c r="C2" s="59"/>
      <c r="D2" s="59"/>
      <c r="E2" s="59"/>
      <c r="F2" s="59"/>
      <c r="G2" s="59"/>
      <c r="H2" s="59"/>
      <c r="I2" s="17"/>
    </row>
    <row r="3" spans="1:11" x14ac:dyDescent="0.35">
      <c r="A3" s="16"/>
      <c r="B3" s="59" t="s">
        <v>85</v>
      </c>
      <c r="C3" s="59"/>
      <c r="D3" s="59"/>
      <c r="E3" s="59"/>
      <c r="F3" s="59"/>
      <c r="G3" s="59"/>
      <c r="H3" s="59"/>
      <c r="I3" s="17"/>
    </row>
    <row r="4" spans="1:11" x14ac:dyDescent="0.35">
      <c r="A4" s="16"/>
      <c r="B4" s="59" t="s">
        <v>84</v>
      </c>
      <c r="C4" s="59"/>
      <c r="D4" s="59"/>
      <c r="E4" s="59"/>
      <c r="F4" s="59"/>
      <c r="G4" s="59"/>
      <c r="H4" s="59"/>
      <c r="I4" s="17"/>
    </row>
    <row r="5" spans="1:11" x14ac:dyDescent="0.35">
      <c r="A5" s="16"/>
      <c r="B5" s="1"/>
      <c r="C5" s="1"/>
      <c r="D5" s="1"/>
      <c r="E5" s="1"/>
      <c r="F5" s="1"/>
      <c r="G5" s="1"/>
      <c r="H5" s="1"/>
      <c r="I5" s="17"/>
    </row>
    <row r="6" spans="1:11" ht="39" x14ac:dyDescent="0.35">
      <c r="A6" s="16"/>
      <c r="B6" s="3" t="s">
        <v>32</v>
      </c>
      <c r="C6" s="3" t="s">
        <v>48</v>
      </c>
      <c r="D6" s="4" t="s">
        <v>86</v>
      </c>
      <c r="E6" s="4" t="s">
        <v>87</v>
      </c>
      <c r="F6" s="4" t="s">
        <v>88</v>
      </c>
      <c r="G6" s="4" t="s">
        <v>89</v>
      </c>
      <c r="H6" s="3" t="s">
        <v>10</v>
      </c>
      <c r="I6" s="17"/>
    </row>
    <row r="7" spans="1:11" ht="28" customHeight="1" x14ac:dyDescent="0.35">
      <c r="A7" s="16"/>
      <c r="B7" s="43" t="str">
        <f>+'tarjeta de tiempo'!H6</f>
        <v>004</v>
      </c>
      <c r="C7" s="5" t="str">
        <f>+VLOOKUP(B7,DATOS!A10:C12,2)</f>
        <v>Gadvay Verónica</v>
      </c>
      <c r="D7" s="41">
        <f>+'resumen tarjetas de control'!G7</f>
        <v>2.125</v>
      </c>
      <c r="E7" s="41">
        <f>+'tarjeta de tiempo'!F11+'tarjeta de tiempo'!F13+'tarjeta de tiempo'!F15+'tarjeta de tiempo'!F16+'tarjeta de tiempo'!F17+'tarjeta de tiempo'!F18+'tarjeta de tiempo'!F19+'tarjeta de tiempo'!F20</f>
        <v>1.833333333333333</v>
      </c>
      <c r="F7" s="41">
        <f>+'tarjeta de tiempo'!F10</f>
        <v>8.3333333333333315E-2</v>
      </c>
      <c r="G7" s="41">
        <f>+'tarjeta de tiempo'!F12+'tarjeta de tiempo'!F14</f>
        <v>0.20833333333333326</v>
      </c>
      <c r="H7" s="41">
        <f>+SUM(E7:G7)</f>
        <v>2.1249999999999996</v>
      </c>
      <c r="I7" s="17"/>
    </row>
    <row r="8" spans="1:11" ht="28" customHeight="1" x14ac:dyDescent="0.35">
      <c r="A8" s="16"/>
      <c r="B8" s="43" t="str">
        <f>+'tarjeta de tiempo'!H33</f>
        <v>008</v>
      </c>
      <c r="C8" s="5" t="str">
        <f>+VLOOKUP(B8,DATOS!A11:C13,2)</f>
        <v>Suarez Carlos</v>
      </c>
      <c r="D8" s="41">
        <f>+'resumen tarjetas de control'!G8</f>
        <v>2.125</v>
      </c>
      <c r="E8" s="41">
        <f>+'tarjeta de tiempo'!F38+'tarjeta de tiempo'!F39+'tarjeta de tiempo'!F41+'tarjeta de tiempo'!F42+'tarjeta de tiempo'!F43+'tarjeta de tiempo'!F44+'tarjeta de tiempo'!F45+'tarjeta de tiempo'!F46</f>
        <v>1.8749999999999996</v>
      </c>
      <c r="F8" s="41">
        <f>+'tarjeta de tiempo'!F37</f>
        <v>8.3333333333333315E-2</v>
      </c>
      <c r="G8" s="41">
        <f>+'tarjeta de tiempo'!F40</f>
        <v>0.16666666666666663</v>
      </c>
      <c r="H8" s="41">
        <f>+SUM(E8:G8)</f>
        <v>2.1249999999999996</v>
      </c>
      <c r="I8" s="17"/>
    </row>
    <row r="9" spans="1:11" ht="28" customHeight="1" x14ac:dyDescent="0.35">
      <c r="A9" s="16"/>
      <c r="B9" s="43" t="str">
        <f>+'tarjeta de tiempo'!H59</f>
        <v>012</v>
      </c>
      <c r="C9" s="5" t="str">
        <f>+VLOOKUP(B9,DATOS!A12:C14,2)</f>
        <v>Yambay Fernanda</v>
      </c>
      <c r="D9" s="41">
        <f>+'tarjeta de tiempo'!F71</f>
        <v>1.8333333333333335</v>
      </c>
      <c r="E9" s="5"/>
      <c r="F9" s="41">
        <f>+'tarjeta de tiempo'!F71-'tarjeta de tiempo'!F65</f>
        <v>1.7083333333333335</v>
      </c>
      <c r="G9" s="41">
        <f>+'tarjeta de tiempo'!F65</f>
        <v>0.125</v>
      </c>
      <c r="H9" s="41">
        <f>+SUM(E9:G9)</f>
        <v>1.8333333333333335</v>
      </c>
      <c r="I9" s="17"/>
    </row>
    <row r="10" spans="1:11" ht="28" customHeight="1" x14ac:dyDescent="0.35">
      <c r="A10" s="16"/>
      <c r="B10" s="5"/>
      <c r="C10" s="5"/>
      <c r="D10" s="5"/>
      <c r="E10" s="5"/>
      <c r="F10" s="5"/>
      <c r="G10" s="5"/>
      <c r="H10" s="5"/>
      <c r="I10" s="17"/>
    </row>
    <row r="11" spans="1:11" ht="28" customHeight="1" x14ac:dyDescent="0.35">
      <c r="A11" s="16"/>
      <c r="B11" s="72" t="s">
        <v>10</v>
      </c>
      <c r="C11" s="73"/>
      <c r="D11" s="5"/>
      <c r="E11" s="5"/>
      <c r="F11" s="5"/>
      <c r="G11" s="5"/>
      <c r="H11" s="5"/>
      <c r="I11" s="17"/>
    </row>
    <row r="12" spans="1:11" ht="24.5" customHeight="1" thickBot="1" x14ac:dyDescent="0.4">
      <c r="A12" s="18"/>
      <c r="B12" s="19"/>
      <c r="C12" s="19"/>
      <c r="D12" s="19"/>
      <c r="E12" s="19"/>
      <c r="F12" s="19"/>
      <c r="G12" s="19"/>
      <c r="H12" s="19"/>
      <c r="I12" s="20"/>
    </row>
    <row r="15" spans="1:11" x14ac:dyDescent="0.35">
      <c r="K15" s="24"/>
    </row>
  </sheetData>
  <mergeCells count="4">
    <mergeCell ref="B2:H2"/>
    <mergeCell ref="B3:H3"/>
    <mergeCell ref="B4:H4"/>
    <mergeCell ref="B11:C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A2DD5-8F63-4077-8284-5D9B4EE0B8F6}">
  <dimension ref="A1:L5"/>
  <sheetViews>
    <sheetView topLeftCell="C1" workbookViewId="0">
      <selection activeCell="E4" sqref="E4"/>
    </sheetView>
  </sheetViews>
  <sheetFormatPr baseColWidth="10" defaultRowHeight="14.5" x14ac:dyDescent="0.35"/>
  <cols>
    <col min="1" max="1" width="46.81640625" bestFit="1" customWidth="1"/>
    <col min="2" max="2" width="11.81640625" bestFit="1" customWidth="1"/>
    <col min="3" max="3" width="8.1796875" bestFit="1" customWidth="1"/>
    <col min="4" max="4" width="18.26953125" bestFit="1" customWidth="1"/>
    <col min="5" max="5" width="6.6328125" customWidth="1"/>
    <col min="6" max="6" width="7.6328125" bestFit="1" customWidth="1"/>
    <col min="7" max="7" width="6.6328125" bestFit="1" customWidth="1"/>
    <col min="8" max="8" width="31.453125" bestFit="1" customWidth="1"/>
    <col min="9" max="9" width="13.1796875" customWidth="1"/>
    <col min="10" max="10" width="31.453125" bestFit="1" customWidth="1"/>
    <col min="12" max="12" width="15.26953125" bestFit="1" customWidth="1"/>
  </cols>
  <sheetData>
    <row r="1" spans="1:12" x14ac:dyDescent="0.35">
      <c r="B1" s="78" t="s">
        <v>143</v>
      </c>
      <c r="C1" s="78"/>
      <c r="D1" s="78" t="s">
        <v>144</v>
      </c>
      <c r="E1" s="78"/>
      <c r="F1" s="78"/>
      <c r="G1" s="78"/>
      <c r="H1" s="78" t="s">
        <v>145</v>
      </c>
      <c r="I1" s="78"/>
      <c r="J1" s="78" t="s">
        <v>146</v>
      </c>
      <c r="K1" s="78"/>
      <c r="L1" s="52" t="s">
        <v>157</v>
      </c>
    </row>
    <row r="2" spans="1:12" x14ac:dyDescent="0.35">
      <c r="B2" s="47" t="s">
        <v>147</v>
      </c>
      <c r="C2" s="48">
        <v>460</v>
      </c>
      <c r="D2" s="47" t="s">
        <v>150</v>
      </c>
      <c r="E2" s="47"/>
      <c r="F2" s="47"/>
      <c r="G2" s="51"/>
      <c r="H2" s="47" t="s">
        <v>155</v>
      </c>
      <c r="I2" s="47">
        <v>3.5</v>
      </c>
      <c r="J2" s="47" t="s">
        <v>155</v>
      </c>
      <c r="K2" s="47">
        <v>0.5</v>
      </c>
    </row>
    <row r="3" spans="1:12" x14ac:dyDescent="0.35">
      <c r="A3" t="s">
        <v>148</v>
      </c>
      <c r="B3">
        <v>2</v>
      </c>
      <c r="C3" s="50">
        <f>($C$2*1%)*2</f>
        <v>9.2000000000000011</v>
      </c>
      <c r="D3" t="s">
        <v>151</v>
      </c>
      <c r="E3">
        <v>1</v>
      </c>
      <c r="F3" s="50">
        <v>460</v>
      </c>
      <c r="G3" s="50">
        <f>+F3*0.25%*E3</f>
        <v>1.1500000000000001</v>
      </c>
      <c r="H3" t="s">
        <v>154</v>
      </c>
      <c r="I3">
        <f>+$I$2*20</f>
        <v>70</v>
      </c>
      <c r="J3" t="s">
        <v>154</v>
      </c>
      <c r="K3">
        <f>+$K$2*20</f>
        <v>10</v>
      </c>
      <c r="L3" s="49">
        <f>+K3+I3+G3+C3</f>
        <v>90.350000000000009</v>
      </c>
    </row>
    <row r="4" spans="1:12" x14ac:dyDescent="0.35">
      <c r="A4" t="s">
        <v>149</v>
      </c>
      <c r="B4">
        <v>1</v>
      </c>
      <c r="C4" s="50">
        <f t="shared" ref="C4" si="0">+$C$2*1%</f>
        <v>4.6000000000000005</v>
      </c>
      <c r="D4" t="s">
        <v>152</v>
      </c>
      <c r="E4">
        <v>1</v>
      </c>
      <c r="F4" s="50">
        <v>550</v>
      </c>
      <c r="G4" s="50">
        <f>+F4*0.25%*E4</f>
        <v>1.375</v>
      </c>
      <c r="H4" t="s">
        <v>154</v>
      </c>
      <c r="I4">
        <f t="shared" ref="I4" si="1">+$I$2*20</f>
        <v>70</v>
      </c>
      <c r="J4" t="s">
        <v>154</v>
      </c>
      <c r="K4">
        <f>+$K$2*20</f>
        <v>10</v>
      </c>
      <c r="L4" s="49">
        <f>+K4+I4+G4+C4</f>
        <v>85.974999999999994</v>
      </c>
    </row>
    <row r="5" spans="1:12" x14ac:dyDescent="0.35">
      <c r="A5" t="s">
        <v>119</v>
      </c>
      <c r="B5">
        <v>0</v>
      </c>
      <c r="D5" t="s">
        <v>153</v>
      </c>
      <c r="E5">
        <v>5</v>
      </c>
      <c r="F5" s="50">
        <v>800</v>
      </c>
      <c r="G5" s="50">
        <f>+F5*0.25%*E5</f>
        <v>10</v>
      </c>
      <c r="H5" t="s">
        <v>156</v>
      </c>
      <c r="I5">
        <f>+$I$2*18</f>
        <v>63</v>
      </c>
      <c r="J5" t="s">
        <v>156</v>
      </c>
      <c r="K5">
        <f>+$K$2*18</f>
        <v>9</v>
      </c>
      <c r="L5" s="49">
        <f>+K5+I5+G5+C5</f>
        <v>82</v>
      </c>
    </row>
  </sheetData>
  <mergeCells count="4">
    <mergeCell ref="B1:C1"/>
    <mergeCell ref="D1:G1"/>
    <mergeCell ref="H1:I1"/>
    <mergeCell ref="J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4F3B-42BB-4B39-9D6A-96811B492668}">
  <dimension ref="A1:G4"/>
  <sheetViews>
    <sheetView workbookViewId="0">
      <selection activeCell="A2" sqref="A2"/>
    </sheetView>
  </sheetViews>
  <sheetFormatPr baseColWidth="10" defaultRowHeight="14.5" x14ac:dyDescent="0.35"/>
  <cols>
    <col min="1" max="1" width="13.81640625" bestFit="1" customWidth="1"/>
    <col min="2" max="2" width="7.08984375" bestFit="1" customWidth="1"/>
    <col min="3" max="3" width="18.6328125" bestFit="1" customWidth="1"/>
    <col min="4" max="4" width="10.90625" style="50"/>
    <col min="5" max="5" width="18.26953125" bestFit="1" customWidth="1"/>
  </cols>
  <sheetData>
    <row r="1" spans="1:7" x14ac:dyDescent="0.35">
      <c r="C1" s="79" t="s">
        <v>158</v>
      </c>
      <c r="D1" s="79"/>
      <c r="E1" s="79" t="s">
        <v>159</v>
      </c>
      <c r="F1" s="79"/>
      <c r="G1" t="s">
        <v>160</v>
      </c>
    </row>
    <row r="2" spans="1:7" x14ac:dyDescent="0.35">
      <c r="A2" s="6" t="s">
        <v>117</v>
      </c>
      <c r="B2" s="55">
        <f>+DATOS!D10</f>
        <v>460</v>
      </c>
      <c r="C2" s="56">
        <v>6</v>
      </c>
      <c r="D2" s="50">
        <f>+B2/240*C2*1.5</f>
        <v>17.25</v>
      </c>
      <c r="E2" s="56">
        <v>5</v>
      </c>
      <c r="F2">
        <f>+B2/240*E2*2</f>
        <v>19.166666666666668</v>
      </c>
      <c r="G2" s="49">
        <f>+F2+D2</f>
        <v>36.416666666666671</v>
      </c>
    </row>
    <row r="3" spans="1:7" x14ac:dyDescent="0.35">
      <c r="A3" s="6" t="s">
        <v>118</v>
      </c>
      <c r="B3" s="55">
        <f>+DATOS!D11</f>
        <v>550</v>
      </c>
      <c r="C3" s="56">
        <v>6</v>
      </c>
      <c r="D3" s="50">
        <f t="shared" ref="D3:D4" si="0">+B3/240*C3*1.5</f>
        <v>20.625</v>
      </c>
      <c r="E3" s="56">
        <v>5</v>
      </c>
      <c r="F3">
        <f t="shared" ref="F3:F4" si="1">+B3/240*E3*2</f>
        <v>22.916666666666664</v>
      </c>
      <c r="G3" s="49">
        <f t="shared" ref="G3:G4" si="2">+F3+D3</f>
        <v>43.541666666666664</v>
      </c>
    </row>
    <row r="4" spans="1:7" x14ac:dyDescent="0.35">
      <c r="A4" s="6" t="s">
        <v>119</v>
      </c>
      <c r="B4" s="55">
        <f>+DATOS!D12</f>
        <v>800</v>
      </c>
      <c r="C4" s="56">
        <v>2</v>
      </c>
      <c r="D4" s="50">
        <f t="shared" si="0"/>
        <v>10</v>
      </c>
      <c r="E4" s="56">
        <v>2</v>
      </c>
      <c r="F4">
        <f t="shared" si="1"/>
        <v>13.333333333333334</v>
      </c>
      <c r="G4" s="49">
        <f t="shared" si="2"/>
        <v>23.333333333333336</v>
      </c>
    </row>
  </sheetData>
  <mergeCells count="2">
    <mergeCell ref="E1:F1"/>
    <mergeCell ref="C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050C-3950-4A8D-A652-A957A3C9ED6B}">
  <dimension ref="A1:C4"/>
  <sheetViews>
    <sheetView workbookViewId="0">
      <selection activeCell="C5" sqref="C5"/>
    </sheetView>
  </sheetViews>
  <sheetFormatPr baseColWidth="10" defaultRowHeight="14.5" x14ac:dyDescent="0.35"/>
  <cols>
    <col min="1" max="1" width="13.81640625" bestFit="1" customWidth="1"/>
    <col min="2" max="2" width="20.6328125" bestFit="1" customWidth="1"/>
    <col min="3" max="3" width="18.54296875" bestFit="1" customWidth="1"/>
  </cols>
  <sheetData>
    <row r="1" spans="1:3" x14ac:dyDescent="0.35">
      <c r="B1" t="s">
        <v>161</v>
      </c>
      <c r="C1" t="s">
        <v>162</v>
      </c>
    </row>
    <row r="2" spans="1:3" x14ac:dyDescent="0.35">
      <c r="A2" s="6" t="s">
        <v>117</v>
      </c>
      <c r="B2">
        <v>240</v>
      </c>
    </row>
    <row r="3" spans="1:3" x14ac:dyDescent="0.35">
      <c r="A3" s="6" t="s">
        <v>118</v>
      </c>
    </row>
    <row r="4" spans="1:3" x14ac:dyDescent="0.35">
      <c r="A4" s="6" t="s">
        <v>119</v>
      </c>
      <c r="C4">
        <v>400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34B0-2B40-43F4-8F01-E90FF81E19CB}">
  <dimension ref="A1:N17"/>
  <sheetViews>
    <sheetView topLeftCell="A5" workbookViewId="0">
      <selection activeCell="E13" sqref="E13:N13"/>
    </sheetView>
  </sheetViews>
  <sheetFormatPr baseColWidth="10" defaultRowHeight="13" x14ac:dyDescent="0.3"/>
  <cols>
    <col min="1" max="1" width="2.36328125" style="1" customWidth="1"/>
    <col min="2" max="2" width="22.08984375" style="1" customWidth="1"/>
    <col min="3" max="3" width="14.26953125" style="1" customWidth="1"/>
    <col min="4" max="4" width="11.26953125" style="1" customWidth="1"/>
    <col min="5" max="5" width="12" style="1" customWidth="1"/>
    <col min="6" max="6" width="11.26953125" style="58" customWidth="1"/>
    <col min="7" max="7" width="9.1796875" style="58" customWidth="1"/>
    <col min="8" max="8" width="9.1796875" style="1" customWidth="1"/>
    <col min="9" max="9" width="7.6328125" style="1" customWidth="1"/>
    <col min="10" max="10" width="8.54296875" style="1" customWidth="1"/>
    <col min="11" max="12" width="10.90625" style="1"/>
    <col min="13" max="13" width="9.7265625" style="1" customWidth="1"/>
    <col min="14" max="14" width="10.54296875" style="1" customWidth="1"/>
    <col min="15" max="16384" width="10.90625" style="1"/>
  </cols>
  <sheetData>
    <row r="1" spans="1:14" ht="15" x14ac:dyDescent="0.3">
      <c r="A1" s="80" t="s">
        <v>30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5" x14ac:dyDescent="0.3">
      <c r="A2" s="80" t="s">
        <v>31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" x14ac:dyDescent="0.3">
      <c r="A3" s="80" t="s">
        <v>40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5" spans="1:14" s="2" customFormat="1" ht="39" x14ac:dyDescent="0.3">
      <c r="A5" s="4" t="s">
        <v>45</v>
      </c>
      <c r="B5" s="4" t="s">
        <v>33</v>
      </c>
      <c r="C5" s="4" t="s">
        <v>34</v>
      </c>
      <c r="D5" s="4" t="s">
        <v>35</v>
      </c>
      <c r="E5" s="4" t="s">
        <v>38</v>
      </c>
      <c r="F5" s="57" t="s">
        <v>36</v>
      </c>
      <c r="G5" s="57" t="s">
        <v>37</v>
      </c>
      <c r="H5" s="4" t="s">
        <v>51</v>
      </c>
      <c r="I5" s="4" t="s">
        <v>60</v>
      </c>
      <c r="J5" s="4" t="s">
        <v>39</v>
      </c>
      <c r="K5" s="4" t="s">
        <v>41</v>
      </c>
      <c r="L5" s="4" t="s">
        <v>42</v>
      </c>
      <c r="M5" s="4" t="s">
        <v>43</v>
      </c>
      <c r="N5" s="4" t="s">
        <v>44</v>
      </c>
    </row>
    <row r="6" spans="1:14" ht="28.5" customHeight="1" x14ac:dyDescent="0.3">
      <c r="A6" s="6"/>
      <c r="B6" s="6" t="str">
        <f>+DATOS!B10</f>
        <v>Gadvay Verónica</v>
      </c>
      <c r="C6" s="6" t="str">
        <f>+DATOS!C10</f>
        <v>Costurera</v>
      </c>
      <c r="D6" s="53">
        <f>+DATOS!D10</f>
        <v>460</v>
      </c>
      <c r="E6" s="6">
        <f>+D6*12.15%</f>
        <v>55.89</v>
      </c>
      <c r="F6" s="53">
        <f>+D6/12</f>
        <v>38.333333333333336</v>
      </c>
      <c r="G6" s="53">
        <f>460/12</f>
        <v>38.333333333333336</v>
      </c>
      <c r="H6" s="6">
        <f>+D6*8.33%</f>
        <v>38.317999999999998</v>
      </c>
      <c r="I6" s="54">
        <f>+SUBSIDIOS!L3</f>
        <v>90.350000000000009</v>
      </c>
      <c r="J6" s="54">
        <f>+'HORAS EXTRAS'!G2</f>
        <v>36.416666666666671</v>
      </c>
      <c r="K6" s="6">
        <f>+D6*9.45%</f>
        <v>43.469999999999992</v>
      </c>
      <c r="L6" s="6">
        <f>+'PRESTAMOS AL IESS'!B2</f>
        <v>240</v>
      </c>
      <c r="M6" s="6"/>
      <c r="N6" s="54">
        <f>+D6+F6+G6+H6+I6+J6-K6-L6-M6</f>
        <v>418.28133333333324</v>
      </c>
    </row>
    <row r="7" spans="1:14" ht="28.5" customHeight="1" x14ac:dyDescent="0.3">
      <c r="A7" s="6"/>
      <c r="B7" s="6" t="str">
        <f>+DATOS!B11</f>
        <v>Suarez Carlos</v>
      </c>
      <c r="C7" s="6" t="str">
        <f>+DATOS!C11</f>
        <v>Cortador de tela</v>
      </c>
      <c r="D7" s="53">
        <f>+DATOS!D11</f>
        <v>550</v>
      </c>
      <c r="E7" s="6">
        <f t="shared" ref="E7:E8" si="0">+D7*12.15%</f>
        <v>66.825000000000003</v>
      </c>
      <c r="F7" s="53">
        <f t="shared" ref="F7:F8" si="1">+D7/12</f>
        <v>45.833333333333336</v>
      </c>
      <c r="G7" s="53">
        <f t="shared" ref="G7:G8" si="2">460/12</f>
        <v>38.333333333333336</v>
      </c>
      <c r="H7" s="6">
        <f t="shared" ref="H7:H8" si="3">+D7*8.33%</f>
        <v>45.814999999999998</v>
      </c>
      <c r="I7" s="54">
        <f>+SUBSIDIOS!L4</f>
        <v>85.974999999999994</v>
      </c>
      <c r="J7" s="54">
        <f>+'HORAS EXTRAS'!G3</f>
        <v>43.541666666666664</v>
      </c>
      <c r="K7" s="6">
        <f t="shared" ref="K7:K8" si="4">+D7*9.45%</f>
        <v>51.974999999999994</v>
      </c>
      <c r="L7" s="6"/>
      <c r="M7" s="6"/>
      <c r="N7" s="54">
        <f>+D7+F7+G7+H7+I7+J7-K7-L7-M7</f>
        <v>757.52333333333343</v>
      </c>
    </row>
    <row r="8" spans="1:14" ht="28.5" customHeight="1" x14ac:dyDescent="0.3">
      <c r="A8" s="6"/>
      <c r="B8" s="6" t="str">
        <f>+DATOS!B12</f>
        <v>Yambay Fernanda</v>
      </c>
      <c r="C8" s="6" t="str">
        <f>+DATOS!C12</f>
        <v>Técnico de Mantenimiento</v>
      </c>
      <c r="D8" s="53">
        <f>+DATOS!D12</f>
        <v>800</v>
      </c>
      <c r="E8" s="6">
        <f t="shared" si="0"/>
        <v>97.2</v>
      </c>
      <c r="F8" s="53">
        <f t="shared" si="1"/>
        <v>66.666666666666671</v>
      </c>
      <c r="G8" s="53">
        <f t="shared" si="2"/>
        <v>38.333333333333336</v>
      </c>
      <c r="H8" s="6">
        <f t="shared" si="3"/>
        <v>66.64</v>
      </c>
      <c r="I8" s="54">
        <f>+SUBSIDIOS!L5</f>
        <v>82</v>
      </c>
      <c r="J8" s="54">
        <f>+'HORAS EXTRAS'!G4</f>
        <v>23.333333333333336</v>
      </c>
      <c r="K8" s="6">
        <f t="shared" si="4"/>
        <v>75.599999999999994</v>
      </c>
      <c r="L8" s="6">
        <f>+'PRESTAMOS AL IESS'!C4</f>
        <v>400</v>
      </c>
      <c r="M8" s="6"/>
      <c r="N8" s="54">
        <f t="shared" ref="N8" si="5">+D8+F8+G8+H8+I8+J8-K8-L8-M8</f>
        <v>601.37333333333311</v>
      </c>
    </row>
    <row r="9" spans="1:14" ht="28.5" customHeight="1" x14ac:dyDescent="0.3">
      <c r="A9" s="6"/>
      <c r="B9" s="6"/>
      <c r="C9" s="6"/>
      <c r="D9" s="6"/>
      <c r="E9" s="6"/>
      <c r="F9" s="53"/>
      <c r="G9" s="53"/>
      <c r="H9" s="6"/>
      <c r="I9" s="6"/>
      <c r="J9" s="6"/>
      <c r="K9" s="6"/>
      <c r="L9" s="6"/>
      <c r="M9" s="6"/>
      <c r="N9" s="6"/>
    </row>
    <row r="10" spans="1:14" ht="28.5" customHeight="1" x14ac:dyDescent="0.3">
      <c r="A10" s="6"/>
      <c r="B10" s="6"/>
      <c r="C10" s="6"/>
      <c r="D10" s="6"/>
      <c r="E10" s="6"/>
      <c r="F10" s="53"/>
      <c r="G10" s="53"/>
      <c r="H10" s="6"/>
      <c r="I10" s="6"/>
      <c r="J10" s="6"/>
      <c r="K10" s="6"/>
      <c r="L10" s="6"/>
      <c r="M10" s="6"/>
      <c r="N10" s="6"/>
    </row>
    <row r="11" spans="1:14" ht="28.5" customHeight="1" x14ac:dyDescent="0.3">
      <c r="A11" s="6"/>
      <c r="B11" s="6"/>
      <c r="C11" s="6"/>
      <c r="D11" s="6"/>
      <c r="E11" s="6"/>
      <c r="F11" s="53"/>
      <c r="G11" s="53"/>
      <c r="H11" s="6"/>
      <c r="I11" s="6"/>
      <c r="J11" s="6"/>
      <c r="K11" s="6"/>
      <c r="L11" s="6"/>
      <c r="M11" s="6"/>
      <c r="N11" s="6"/>
    </row>
    <row r="12" spans="1:14" ht="28.5" customHeight="1" x14ac:dyDescent="0.3">
      <c r="A12" s="6"/>
      <c r="B12" s="6"/>
      <c r="C12" s="6"/>
      <c r="D12" s="6"/>
      <c r="E12" s="6"/>
      <c r="F12" s="53"/>
      <c r="G12" s="53"/>
      <c r="H12" s="6"/>
      <c r="I12" s="6"/>
      <c r="J12" s="6"/>
      <c r="K12" s="6"/>
      <c r="L12" s="6"/>
      <c r="M12" s="6"/>
      <c r="N12" s="6"/>
    </row>
    <row r="13" spans="1:14" ht="28.5" customHeight="1" x14ac:dyDescent="0.3">
      <c r="A13" s="6"/>
      <c r="B13" s="6"/>
      <c r="C13" s="6"/>
      <c r="D13" s="54">
        <f>+SUM(D6:D12)</f>
        <v>1810</v>
      </c>
      <c r="E13" s="54">
        <f t="shared" ref="E13:N13" si="6">+SUM(E6:E12)</f>
        <v>219.91500000000002</v>
      </c>
      <c r="F13" s="54">
        <f t="shared" si="6"/>
        <v>150.83333333333334</v>
      </c>
      <c r="G13" s="54">
        <f t="shared" si="6"/>
        <v>115</v>
      </c>
      <c r="H13" s="54">
        <f t="shared" si="6"/>
        <v>150.773</v>
      </c>
      <c r="I13" s="54">
        <f t="shared" si="6"/>
        <v>258.32499999999999</v>
      </c>
      <c r="J13" s="54">
        <f t="shared" si="6"/>
        <v>103.29166666666669</v>
      </c>
      <c r="K13" s="54">
        <f t="shared" si="6"/>
        <v>171.04499999999999</v>
      </c>
      <c r="L13" s="54">
        <f t="shared" si="6"/>
        <v>640</v>
      </c>
      <c r="M13" s="54">
        <f t="shared" si="6"/>
        <v>0</v>
      </c>
      <c r="N13" s="54">
        <f t="shared" si="6"/>
        <v>1777.1779999999999</v>
      </c>
    </row>
    <row r="15" spans="1:14" s="7" customFormat="1" ht="33" customHeight="1" x14ac:dyDescent="0.35">
      <c r="C15" s="8" t="s">
        <v>22</v>
      </c>
      <c r="D15" s="60" t="s">
        <v>48</v>
      </c>
      <c r="E15" s="60"/>
      <c r="F15" s="60"/>
      <c r="G15" s="60" t="s">
        <v>49</v>
      </c>
      <c r="H15" s="60"/>
      <c r="I15" s="60"/>
      <c r="J15" s="60"/>
      <c r="K15" s="60" t="s">
        <v>50</v>
      </c>
      <c r="L15" s="60"/>
    </row>
    <row r="16" spans="1:14" s="7" customFormat="1" ht="33" customHeight="1" x14ac:dyDescent="0.35">
      <c r="C16" s="8" t="s">
        <v>46</v>
      </c>
      <c r="D16" s="81"/>
      <c r="E16" s="81"/>
      <c r="F16" s="81"/>
      <c r="G16" s="81"/>
      <c r="H16" s="81"/>
      <c r="I16" s="81"/>
      <c r="J16" s="81"/>
      <c r="K16" s="81"/>
      <c r="L16" s="81"/>
    </row>
    <row r="17" spans="3:12" s="7" customFormat="1" ht="33" customHeight="1" x14ac:dyDescent="0.35">
      <c r="C17" s="8" t="s">
        <v>47</v>
      </c>
      <c r="D17" s="81"/>
      <c r="E17" s="81"/>
      <c r="F17" s="81"/>
      <c r="G17" s="81"/>
      <c r="H17" s="81"/>
      <c r="I17" s="81"/>
      <c r="J17" s="81"/>
      <c r="K17" s="81"/>
      <c r="L17" s="81"/>
    </row>
  </sheetData>
  <mergeCells count="12">
    <mergeCell ref="G17:J17"/>
    <mergeCell ref="K15:L15"/>
    <mergeCell ref="K16:L16"/>
    <mergeCell ref="K17:L17"/>
    <mergeCell ref="D15:F15"/>
    <mergeCell ref="D16:F16"/>
    <mergeCell ref="D17:F17"/>
    <mergeCell ref="A1:N1"/>
    <mergeCell ref="A2:N2"/>
    <mergeCell ref="A3:N3"/>
    <mergeCell ref="G15:J15"/>
    <mergeCell ref="G16:J16"/>
  </mergeCells>
  <pageMargins left="0.23622047244094488" right="0.23622047244094488" top="0.3543307086614173" bottom="0.354330708661417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DATOS</vt:lpstr>
      <vt:lpstr>tarjeta reloj</vt:lpstr>
      <vt:lpstr>resumen tarjetas de control</vt:lpstr>
      <vt:lpstr>tarjeta de tiempo</vt:lpstr>
      <vt:lpstr>resumen tarjetas de tiempo</vt:lpstr>
      <vt:lpstr>SUBSIDIOS</vt:lpstr>
      <vt:lpstr>HORAS EXTRAS</vt:lpstr>
      <vt:lpstr>PRESTAMOS AL IESS</vt:lpstr>
      <vt:lpstr>NÓMINA</vt:lpstr>
      <vt:lpstr>ASIGNACION COSTOS</vt:lpstr>
      <vt:lpstr>ASIENTO CONTABLE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CINTYA LISBETH TELLO NUÑEZ</dc:creator>
  <cp:lastModifiedBy>CINTYA LISBETH TELLO NUÑEZ</cp:lastModifiedBy>
  <cp:lastPrinted>2024-05-26T17:32:34Z</cp:lastPrinted>
  <dcterms:created xsi:type="dcterms:W3CDTF">2024-05-16T15:13:24Z</dcterms:created>
  <dcterms:modified xsi:type="dcterms:W3CDTF">2024-06-09T17:20:29Z</dcterms:modified>
</cp:coreProperties>
</file>