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os\Desktop\2024-1S-ABRIL\AGRO2024-1S\QUINTO\MERCADEO\"/>
    </mc:Choice>
  </mc:AlternateContent>
  <xr:revisionPtr revIDLastSave="0" documentId="13_ncr:1_{AB50DA4C-B166-46D5-B576-67C41AA288E3}" xr6:coauthVersionLast="47" xr6:coauthVersionMax="47" xr10:uidLastSave="{00000000-0000-0000-0000-000000000000}"/>
  <bookViews>
    <workbookView xWindow="-98" yWindow="-98" windowWidth="19396" windowHeight="11475" activeTab="4" xr2:uid="{38191E18-A1EE-4D9D-8B64-8C8473C6A90E}"/>
  </bookViews>
  <sheets>
    <sheet name="TMAR" sheetId="1" r:id="rId1"/>
    <sheet name="FLC" sheetId="6" r:id="rId2"/>
    <sheet name="BC" sheetId="2" r:id="rId3"/>
    <sheet name="PE" sheetId="3" r:id="rId4"/>
    <sheet name="PE1" sheetId="4" r:id="rId5"/>
    <sheet name="Hoja5" sheetId="5" r:id="rId6"/>
  </sheets>
  <externalReferences>
    <externalReference r:id="rId7"/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" i="4" l="1"/>
  <c r="B6" i="4"/>
  <c r="A6" i="4"/>
  <c r="D6" i="4"/>
  <c r="D5" i="4"/>
  <c r="D4" i="4"/>
  <c r="C5" i="4"/>
  <c r="A5" i="4"/>
  <c r="B5" i="4"/>
  <c r="D7" i="3"/>
  <c r="F4" i="2"/>
  <c r="E6" i="2"/>
  <c r="E7" i="2"/>
  <c r="E8" i="2"/>
  <c r="E9" i="2"/>
  <c r="E5" i="2"/>
  <c r="C4" i="2"/>
  <c r="B9" i="2"/>
  <c r="B8" i="2"/>
  <c r="B7" i="2"/>
  <c r="B6" i="2"/>
  <c r="B5" i="2"/>
  <c r="D6" i="2"/>
  <c r="D7" i="2"/>
  <c r="D8" i="2"/>
  <c r="D9" i="2"/>
  <c r="D5" i="2"/>
  <c r="E4" i="6"/>
  <c r="F4" i="6" s="1"/>
  <c r="H17" i="6"/>
  <c r="G17" i="6"/>
  <c r="F17" i="6"/>
  <c r="E17" i="6"/>
  <c r="H16" i="6"/>
  <c r="G16" i="6"/>
  <c r="F16" i="6"/>
  <c r="E16" i="6"/>
  <c r="H15" i="6"/>
  <c r="G15" i="6"/>
  <c r="F15" i="6"/>
  <c r="E15" i="6"/>
  <c r="D13" i="6"/>
  <c r="E13" i="6" s="1"/>
  <c r="H9" i="6"/>
  <c r="G9" i="6"/>
  <c r="F9" i="6"/>
  <c r="E9" i="6"/>
  <c r="E8" i="6"/>
  <c r="F8" i="6" s="1"/>
  <c r="G8" i="6" s="1"/>
  <c r="H8" i="6" s="1"/>
  <c r="E7" i="6"/>
  <c r="D6" i="6"/>
  <c r="D10" i="6" s="1"/>
  <c r="F13" i="6" l="1"/>
  <c r="D11" i="6"/>
  <c r="F7" i="6"/>
  <c r="E5" i="6"/>
  <c r="D12" i="6" l="1"/>
  <c r="D14" i="6" s="1"/>
  <c r="D18" i="6" s="1"/>
  <c r="E6" i="6"/>
  <c r="E10" i="6" s="1"/>
  <c r="G7" i="6"/>
  <c r="F5" i="6"/>
  <c r="G13" i="6"/>
  <c r="G5" i="6" l="1"/>
  <c r="H7" i="6"/>
  <c r="F6" i="6"/>
  <c r="F10" i="6" s="1"/>
  <c r="G4" i="6"/>
  <c r="H13" i="6"/>
  <c r="E11" i="6"/>
  <c r="G6" i="6" l="1"/>
  <c r="G10" i="6" s="1"/>
  <c r="H4" i="6"/>
  <c r="F11" i="6"/>
  <c r="H5" i="6"/>
  <c r="E12" i="6"/>
  <c r="E14" i="6" s="1"/>
  <c r="E18" i="6" s="1"/>
  <c r="H6" i="6" l="1"/>
  <c r="H10" i="6" s="1"/>
  <c r="F12" i="6"/>
  <c r="F14" i="6" s="1"/>
  <c r="F18" i="6" s="1"/>
  <c r="G11" i="6"/>
  <c r="G12" i="6" l="1"/>
  <c r="G14" i="6" s="1"/>
  <c r="G18" i="6" s="1"/>
  <c r="H11" i="6"/>
  <c r="H12" i="6" l="1"/>
  <c r="H14" i="6" s="1"/>
  <c r="H18" i="6" s="1"/>
  <c r="D20" i="6" l="1"/>
  <c r="E6" i="4" l="1"/>
  <c r="E5" i="4"/>
  <c r="E4" i="4"/>
  <c r="D9" i="3"/>
  <c r="H6" i="3" s="1"/>
  <c r="D21" i="3"/>
  <c r="D22" i="3"/>
  <c r="D4" i="2"/>
  <c r="A10" i="2" s="1"/>
  <c r="D5" i="1"/>
  <c r="C4" i="1"/>
  <c r="D4" i="1" s="1"/>
  <c r="D6" i="1" s="1"/>
  <c r="D24" i="3" l="1"/>
  <c r="H21" i="3" s="1"/>
  <c r="F10" i="2"/>
  <c r="E10" i="2" l="1"/>
  <c r="B16" i="2" s="1"/>
</calcChain>
</file>

<file path=xl/sharedStrings.xml><?xml version="1.0" encoding="utf-8"?>
<sst xmlns="http://schemas.openxmlformats.org/spreadsheetml/2006/main" count="72" uniqueCount="57">
  <si>
    <t>TMAR</t>
  </si>
  <si>
    <t>FINANCIADO POR</t>
  </si>
  <si>
    <t>APORTACIÒN</t>
  </si>
  <si>
    <t>PONDERACIÒN</t>
  </si>
  <si>
    <t>CAPITAL PROPIO</t>
  </si>
  <si>
    <t>CRÈDITO BANCARIO</t>
  </si>
  <si>
    <t>TMAR GLOBAL</t>
  </si>
  <si>
    <t>INDICADORES PARA EL CAPITAL PROPIO</t>
  </si>
  <si>
    <t>INFLACIÓN</t>
  </si>
  <si>
    <t>TASA ACTIVA</t>
  </si>
  <si>
    <t>https://contenido.bce.fin.ec/resumen_ticker.php?ticker_value=inflacion_mensual</t>
  </si>
  <si>
    <t>https://contenido.bce.fin.ec/resumen_ticker.php?ticker_value=activa</t>
  </si>
  <si>
    <r>
      <rPr>
        <b/>
        <sz val="11"/>
        <color theme="1"/>
        <rFont val="Calibri"/>
        <family val="2"/>
        <scheme val="minor"/>
      </rPr>
      <t>Análisis:</t>
    </r>
    <r>
      <rPr>
        <sz val="11"/>
        <color theme="1"/>
        <rFont val="Calibri"/>
        <family val="2"/>
        <scheme val="minor"/>
      </rPr>
      <t xml:space="preserve"> De  acuerdo al  cálculo realizado para determinar la TMAR se determina que el proyecto cuenta con capital propio que representa un 10% de la inversión el mismo  que es aportado por los accionistas, por otra parte cuenta con un financiamiento que representa el 90% para lo cual la TMAR fue asignada en la relación a la tasa activa para PYMES, y la TMAR del capital propio es la tasa mínima aceptable de rendimiento; dando una TMAR GLOBAL DEL 11.44%, que es una tasa rentable para este tipo de negocio.</t>
    </r>
  </si>
  <si>
    <t>AÑOS</t>
  </si>
  <si>
    <t>BENEFICIO ACTUALIZADO (INGRESOS / COEFICIENTE)</t>
  </si>
  <si>
    <t>COSTO ACTUALIZADO (EGRESOS / COEFICIENTE)</t>
  </si>
  <si>
    <t>i = TMAR = 11.44%</t>
  </si>
  <si>
    <t>RC / B=</t>
  </si>
  <si>
    <t>=</t>
  </si>
  <si>
    <t>PE</t>
  </si>
  <si>
    <t>PE DÓLARES</t>
  </si>
  <si>
    <t>1-</t>
  </si>
  <si>
    <t>PRECIO PONDERADO</t>
  </si>
  <si>
    <t>COSTO VARIABLE UNITARIO PONDERADO</t>
  </si>
  <si>
    <t>1 -</t>
  </si>
  <si>
    <t xml:space="preserve">                                                  COSTO FIJO                                                                      </t>
  </si>
  <si>
    <t>PUNTO DE EQUILIBRIO EN UNIDADES (DÓLARES)</t>
  </si>
  <si>
    <t>PE UNIDADES</t>
  </si>
  <si>
    <t>PRECIO PONDERADO      =</t>
  </si>
  <si>
    <t>CÁLCULO DEL PUNTO DE EQUILIBRIO (UNIDADES)</t>
  </si>
  <si>
    <t>CANTIDAD</t>
  </si>
  <si>
    <t>INGRESOS TOTALES</t>
  </si>
  <si>
    <t>EGRESO VARIABLE</t>
  </si>
  <si>
    <t>EGRESO FIJO</t>
  </si>
  <si>
    <t>EGRESO TOTAL</t>
  </si>
  <si>
    <t>PUNTO DE EQUILIBRIO</t>
  </si>
  <si>
    <t>Ventas</t>
  </si>
  <si>
    <t>Costo de ventas</t>
  </si>
  <si>
    <t>Utilidad Bruta</t>
  </si>
  <si>
    <t>(-) Gastos de Administracion</t>
  </si>
  <si>
    <t>(-) Gasto de Ventas</t>
  </si>
  <si>
    <t>(-) Gasto de Financiero</t>
  </si>
  <si>
    <t>Utilidad antes de Part. Trab.</t>
  </si>
  <si>
    <t>Participacion trabajadores</t>
  </si>
  <si>
    <t>Utilidad antes de impuestos</t>
  </si>
  <si>
    <t>Impuestos</t>
  </si>
  <si>
    <t>Utilidad neta</t>
  </si>
  <si>
    <t>(+) Depreciación</t>
  </si>
  <si>
    <t>(+) amortizacion int.</t>
  </si>
  <si>
    <t>(-) amortizacion bancaria</t>
  </si>
  <si>
    <t>Flujo de caja</t>
  </si>
  <si>
    <t>TIR=</t>
  </si>
  <si>
    <t>SI LA ESTRATEGIA DE VENTAS ES INCREMETAR EL</t>
  </si>
  <si>
    <t>2% ANUAL</t>
  </si>
  <si>
    <t>VENTAJAS</t>
  </si>
  <si>
    <t>DEVENTAJAS</t>
  </si>
  <si>
    <r>
      <t>COEFICIENTE DE ACTUALIZACIÒN ( 1+ i)</t>
    </r>
    <r>
      <rPr>
        <b/>
        <vertAlign val="superscript"/>
        <sz val="12"/>
        <color theme="1"/>
        <rFont val="Calibri"/>
        <family val="2"/>
        <scheme val="minor"/>
      </rPr>
      <t>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</si>
</sst>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* #,##0.00\ _€_-;\-* #,##0.00\ _€_-;_-* &quot;-&quot;??\ _€_-;_-@_-"/>
    <numFmt numFmtId="165" formatCode="_-* #,##0\ _€_-;\-* #,##0\ _€_-;_-* &quot;-&quot;??\ _€_-;_-@_-"/>
    <numFmt numFmtId="166" formatCode="&quot;$&quot;\ #,##0.00"/>
    <numFmt numFmtId="167" formatCode="0.0000"/>
    <numFmt numFmtId="168" formatCode="&quot;$&quot;#,##0.00"/>
    <numFmt numFmtId="169" formatCode="0.00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Calibri"/>
      <family val="2"/>
    </font>
    <font>
      <b/>
      <sz val="12"/>
      <color rgb="FF000000"/>
      <name val="Times New Roman"/>
      <family val="1"/>
    </font>
    <font>
      <sz val="11"/>
      <name val="Calibri"/>
      <family val="2"/>
      <scheme val="minor"/>
    </font>
    <font>
      <sz val="12"/>
      <color theme="1"/>
      <name val="Arial"/>
      <family val="2"/>
    </font>
    <font>
      <b/>
      <u/>
      <sz val="12"/>
      <color theme="1"/>
      <name val="Times New Roman"/>
      <family val="1"/>
    </font>
    <font>
      <u val="double"/>
      <sz val="12"/>
      <color theme="1"/>
      <name val="Times New Roman"/>
      <family val="1"/>
    </font>
    <font>
      <u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7" fillId="0" borderId="0"/>
    <xf numFmtId="164" fontId="1" fillId="0" borderId="0" applyFont="0" applyFill="0" applyBorder="0" applyAlignment="0" applyProtection="0"/>
  </cellStyleXfs>
  <cellXfs count="97">
    <xf numFmtId="0" fontId="0" fillId="0" borderId="0" xfId="0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5" xfId="0" applyFont="1" applyBorder="1"/>
    <xf numFmtId="9" fontId="6" fillId="0" borderId="6" xfId="0" applyNumberFormat="1" applyFont="1" applyBorder="1"/>
    <xf numFmtId="10" fontId="6" fillId="0" borderId="6" xfId="0" applyNumberFormat="1" applyFont="1" applyBorder="1"/>
    <xf numFmtId="10" fontId="6" fillId="0" borderId="7" xfId="3" applyNumberFormat="1" applyFont="1" applyBorder="1"/>
    <xf numFmtId="0" fontId="6" fillId="0" borderId="8" xfId="0" applyFont="1" applyBorder="1"/>
    <xf numFmtId="9" fontId="6" fillId="0" borderId="9" xfId="0" applyNumberFormat="1" applyFont="1" applyBorder="1"/>
    <xf numFmtId="10" fontId="6" fillId="0" borderId="3" xfId="0" applyNumberFormat="1" applyFont="1" applyBorder="1"/>
    <xf numFmtId="0" fontId="8" fillId="0" borderId="10" xfId="5" applyFont="1" applyBorder="1" applyAlignment="1">
      <alignment horizontal="center" vertical="center" wrapText="1"/>
    </xf>
    <xf numFmtId="0" fontId="8" fillId="0" borderId="11" xfId="5" applyFont="1" applyBorder="1" applyAlignment="1">
      <alignment horizontal="center" vertical="center" wrapText="1"/>
    </xf>
    <xf numFmtId="0" fontId="8" fillId="0" borderId="12" xfId="5" applyFont="1" applyBorder="1" applyAlignment="1">
      <alignment horizontal="center" vertical="center" wrapText="1"/>
    </xf>
    <xf numFmtId="0" fontId="8" fillId="0" borderId="13" xfId="5" applyFont="1" applyBorder="1" applyAlignment="1">
      <alignment horizontal="center" vertical="center" wrapText="1"/>
    </xf>
    <xf numFmtId="0" fontId="8" fillId="0" borderId="14" xfId="5" applyFont="1" applyBorder="1" applyAlignment="1">
      <alignment horizontal="center"/>
    </xf>
    <xf numFmtId="10" fontId="8" fillId="0" borderId="14" xfId="5" applyNumberFormat="1" applyFont="1" applyBorder="1" applyAlignment="1">
      <alignment horizontal="center"/>
    </xf>
    <xf numFmtId="0" fontId="9" fillId="0" borderId="0" xfId="4" applyFont="1"/>
    <xf numFmtId="0" fontId="0" fillId="0" borderId="0" xfId="0" applyAlignment="1">
      <alignment horizontal="justify" vertical="justify" wrapText="1"/>
    </xf>
    <xf numFmtId="0" fontId="10" fillId="0" borderId="0" xfId="0" applyFont="1"/>
    <xf numFmtId="44" fontId="6" fillId="0" borderId="15" xfId="2" applyFont="1" applyBorder="1" applyAlignment="1"/>
    <xf numFmtId="44" fontId="6" fillId="0" borderId="16" xfId="2" applyFont="1" applyBorder="1" applyAlignment="1"/>
    <xf numFmtId="0" fontId="6" fillId="0" borderId="16" xfId="0" applyFont="1" applyBorder="1"/>
    <xf numFmtId="0" fontId="6" fillId="0" borderId="17" xfId="0" applyFont="1" applyBorder="1"/>
    <xf numFmtId="0" fontId="6" fillId="0" borderId="18" xfId="0" applyFont="1" applyBorder="1"/>
    <xf numFmtId="0" fontId="6" fillId="0" borderId="0" xfId="0" applyFont="1"/>
    <xf numFmtId="0" fontId="6" fillId="0" borderId="19" xfId="0" applyFont="1" applyBorder="1"/>
    <xf numFmtId="164" fontId="6" fillId="0" borderId="18" xfId="6" applyFont="1" applyBorder="1" applyAlignment="1"/>
    <xf numFmtId="164" fontId="6" fillId="0" borderId="0" xfId="6" applyFont="1" applyBorder="1" applyAlignment="1"/>
    <xf numFmtId="44" fontId="0" fillId="0" borderId="4" xfId="0" applyNumberFormat="1" applyBorder="1" applyAlignment="1">
      <alignment vertical="center"/>
    </xf>
    <xf numFmtId="164" fontId="11" fillId="0" borderId="18" xfId="6" applyFont="1" applyBorder="1" applyAlignment="1"/>
    <xf numFmtId="164" fontId="11" fillId="0" borderId="0" xfId="6" applyFont="1" applyBorder="1" applyAlignment="1"/>
    <xf numFmtId="0" fontId="5" fillId="0" borderId="4" xfId="0" applyFont="1" applyBorder="1" applyAlignment="1">
      <alignment horizontal="center" vertical="center"/>
    </xf>
    <xf numFmtId="164" fontId="12" fillId="0" borderId="18" xfId="6" applyFont="1" applyBorder="1" applyAlignment="1"/>
    <xf numFmtId="164" fontId="12" fillId="0" borderId="0" xfId="6" applyFont="1" applyBorder="1" applyAlignment="1"/>
    <xf numFmtId="164" fontId="11" fillId="0" borderId="18" xfId="6" applyFont="1" applyBorder="1" applyAlignment="1">
      <alignment horizontal="center" vertical="center"/>
    </xf>
    <xf numFmtId="164" fontId="11" fillId="0" borderId="0" xfId="6" applyFont="1" applyBorder="1" applyAlignment="1">
      <alignment horizontal="center" vertical="center"/>
    </xf>
    <xf numFmtId="0" fontId="11" fillId="0" borderId="18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3" fillId="0" borderId="1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20" xfId="0" applyFont="1" applyBorder="1" applyAlignment="1">
      <alignment horizontal="center" wrapText="1"/>
    </xf>
    <xf numFmtId="0" fontId="6" fillId="0" borderId="21" xfId="0" applyFont="1" applyBorder="1" applyAlignment="1">
      <alignment horizontal="center" wrapText="1"/>
    </xf>
    <xf numFmtId="0" fontId="13" fillId="0" borderId="0" xfId="0" applyFont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165" fontId="6" fillId="0" borderId="15" xfId="6" applyNumberFormat="1" applyFont="1" applyBorder="1" applyAlignment="1">
      <alignment horizontal="center" vertical="center"/>
    </xf>
    <xf numFmtId="165" fontId="6" fillId="0" borderId="16" xfId="6" applyNumberFormat="1" applyFont="1" applyBorder="1" applyAlignment="1">
      <alignment horizontal="center" vertical="center"/>
    </xf>
    <xf numFmtId="165" fontId="0" fillId="0" borderId="25" xfId="6" applyNumberFormat="1" applyFont="1" applyBorder="1" applyAlignment="1">
      <alignment vertical="center"/>
    </xf>
    <xf numFmtId="0" fontId="11" fillId="0" borderId="18" xfId="0" applyFont="1" applyBorder="1"/>
    <xf numFmtId="0" fontId="11" fillId="0" borderId="0" xfId="0" applyFont="1"/>
    <xf numFmtId="0" fontId="6" fillId="0" borderId="18" xfId="0" applyFont="1" applyBorder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 wrapText="1"/>
    </xf>
    <xf numFmtId="0" fontId="5" fillId="0" borderId="28" xfId="0" applyFont="1" applyBorder="1" applyAlignment="1">
      <alignment horizontal="center" wrapText="1"/>
    </xf>
    <xf numFmtId="0" fontId="5" fillId="0" borderId="29" xfId="0" applyFont="1" applyBorder="1" applyAlignment="1">
      <alignment horizontal="center"/>
    </xf>
    <xf numFmtId="0" fontId="5" fillId="0" borderId="30" xfId="0" applyFont="1" applyBorder="1" applyAlignment="1">
      <alignment horizontal="center" wrapText="1"/>
    </xf>
    <xf numFmtId="0" fontId="6" fillId="0" borderId="31" xfId="0" applyFont="1" applyBorder="1" applyAlignment="1">
      <alignment horizontal="center" wrapText="1"/>
    </xf>
    <xf numFmtId="164" fontId="6" fillId="0" borderId="5" xfId="6" applyFont="1" applyBorder="1"/>
    <xf numFmtId="164" fontId="6" fillId="0" borderId="6" xfId="6" applyFont="1" applyBorder="1"/>
    <xf numFmtId="164" fontId="6" fillId="0" borderId="14" xfId="6" applyFont="1" applyBorder="1"/>
    <xf numFmtId="164" fontId="6" fillId="0" borderId="7" xfId="6" applyFont="1" applyBorder="1"/>
    <xf numFmtId="164" fontId="6" fillId="0" borderId="32" xfId="6" applyFont="1" applyBorder="1"/>
    <xf numFmtId="164" fontId="6" fillId="0" borderId="29" xfId="6" applyFont="1" applyBorder="1"/>
    <xf numFmtId="43" fontId="0" fillId="0" borderId="0" xfId="0" applyNumberForma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4" xfId="0" applyBorder="1" applyProtection="1">
      <protection hidden="1"/>
    </xf>
    <xf numFmtId="0" fontId="9" fillId="0" borderId="14" xfId="1" applyNumberFormat="1" applyFont="1" applyBorder="1" applyAlignment="1" applyProtection="1">
      <alignment horizontal="center"/>
      <protection hidden="1"/>
    </xf>
    <xf numFmtId="166" fontId="9" fillId="0" borderId="14" xfId="0" applyNumberFormat="1" applyFont="1" applyBorder="1" applyProtection="1">
      <protection hidden="1"/>
    </xf>
    <xf numFmtId="167" fontId="0" fillId="0" borderId="0" xfId="0" applyNumberFormat="1"/>
    <xf numFmtId="168" fontId="0" fillId="0" borderId="0" xfId="0" applyNumberFormat="1"/>
    <xf numFmtId="0" fontId="9" fillId="0" borderId="0" xfId="0" applyFont="1"/>
    <xf numFmtId="166" fontId="0" fillId="0" borderId="14" xfId="0" applyNumberFormat="1" applyBorder="1" applyProtection="1">
      <protection hidden="1"/>
    </xf>
    <xf numFmtId="10" fontId="2" fillId="0" borderId="0" xfId="0" applyNumberFormat="1" applyFont="1"/>
    <xf numFmtId="0" fontId="2" fillId="0" borderId="0" xfId="0" applyFont="1"/>
    <xf numFmtId="43" fontId="0" fillId="0" borderId="0" xfId="1" applyFont="1"/>
    <xf numFmtId="169" fontId="0" fillId="0" borderId="0" xfId="0" applyNumberFormat="1"/>
    <xf numFmtId="0" fontId="14" fillId="0" borderId="0" xfId="0" applyFont="1"/>
    <xf numFmtId="0" fontId="15" fillId="0" borderId="14" xfId="0" applyFont="1" applyBorder="1" applyAlignment="1">
      <alignment horizontal="center" vertical="center"/>
    </xf>
    <xf numFmtId="0" fontId="15" fillId="0" borderId="9" xfId="0" applyFont="1" applyBorder="1" applyAlignment="1">
      <alignment vertical="top"/>
    </xf>
    <xf numFmtId="0" fontId="15" fillId="0" borderId="14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6" xfId="0" applyFont="1" applyBorder="1" applyAlignment="1">
      <alignment vertical="top"/>
    </xf>
    <xf numFmtId="0" fontId="14" fillId="0" borderId="14" xfId="0" applyFont="1" applyBorder="1"/>
    <xf numFmtId="164" fontId="14" fillId="0" borderId="14" xfId="6" applyFont="1" applyBorder="1"/>
    <xf numFmtId="164" fontId="14" fillId="0" borderId="14" xfId="0" applyNumberFormat="1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164" fontId="15" fillId="0" borderId="14" xfId="0" applyNumberFormat="1" applyFont="1" applyBorder="1"/>
    <xf numFmtId="0" fontId="15" fillId="0" borderId="14" xfId="0" applyFont="1" applyBorder="1"/>
    <xf numFmtId="164" fontId="14" fillId="0" borderId="14" xfId="6" applyFont="1" applyBorder="1" applyAlignment="1">
      <alignment horizontal="center"/>
    </xf>
  </cellXfs>
  <cellStyles count="7">
    <cellStyle name="Hipervínculo" xfId="4" builtinId="8"/>
    <cellStyle name="Millares" xfId="1" builtinId="3"/>
    <cellStyle name="Millares 2" xfId="6" xr:uid="{55779CDC-FA02-4948-9396-9FDB2D3BD5D8}"/>
    <cellStyle name="Moneda" xfId="2" builtinId="4"/>
    <cellStyle name="Normal" xfId="0" builtinId="0"/>
    <cellStyle name="Normal 2" xfId="5" xr:uid="{5C4F7BC7-8331-414F-84E3-81F36C6F8A2F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INGRESOS</c:v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dLbl>
              <c:idx val="1"/>
              <c:layout>
                <c:manualLayout>
                  <c:x val="-3.1633052604522244E-3"/>
                  <c:y val="2.3617816726418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FFE-4B17-85C5-9AFBB4959C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xVal>
            <c:numRef>
              <c:f>'PE1'!$A$4:$A$6</c:f>
              <c:numCache>
                <c:formatCode>_-* #,##0.00\ _€_-;\-* #,##0.00\ _€_-;_-* "-"??\ _€_-;_-@_-</c:formatCode>
                <c:ptCount val="3"/>
                <c:pt idx="0">
                  <c:v>0</c:v>
                </c:pt>
                <c:pt idx="1">
                  <c:v>4231.6713099041526</c:v>
                </c:pt>
                <c:pt idx="2">
                  <c:v>5078.0055718849826</c:v>
                </c:pt>
              </c:numCache>
            </c:numRef>
          </c:xVal>
          <c:yVal>
            <c:numRef>
              <c:f>'PE1'!$B$4:$B$6</c:f>
              <c:numCache>
                <c:formatCode>_-* #,##0.00\ _€_-;\-* #,##0.00\ _€_-;_-* "-"??\ _€_-;_-@_-</c:formatCode>
                <c:ptCount val="3"/>
                <c:pt idx="0">
                  <c:v>0</c:v>
                </c:pt>
                <c:pt idx="1">
                  <c:v>141605.43</c:v>
                </c:pt>
                <c:pt idx="2">
                  <c:v>169926.51599999997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FFE-4B17-85C5-9AFBB4959C47}"/>
            </c:ext>
          </c:extLst>
        </c:ser>
        <c:ser>
          <c:idx val="1"/>
          <c:order val="1"/>
          <c:tx>
            <c:v>EGRESO VARIABLE</c:v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xVal>
            <c:numRef>
              <c:f>'PE1'!$A$4:$A$6</c:f>
              <c:numCache>
                <c:formatCode>_-* #,##0.00\ _€_-;\-* #,##0.00\ _€_-;_-* "-"??\ _€_-;_-@_-</c:formatCode>
                <c:ptCount val="3"/>
                <c:pt idx="0">
                  <c:v>0</c:v>
                </c:pt>
                <c:pt idx="1">
                  <c:v>4231.6713099041526</c:v>
                </c:pt>
                <c:pt idx="2">
                  <c:v>5078.0055718849826</c:v>
                </c:pt>
              </c:numCache>
            </c:numRef>
          </c:xVal>
          <c:yVal>
            <c:numRef>
              <c:f>'PE1'!$C$4:$C$6</c:f>
              <c:numCache>
                <c:formatCode>_-* #,##0.00\ _€_-;\-* #,##0.00\ _€_-;_-* "-"??\ _€_-;_-@_-</c:formatCode>
                <c:ptCount val="3"/>
                <c:pt idx="0">
                  <c:v>0</c:v>
                </c:pt>
                <c:pt idx="1">
                  <c:v>80000</c:v>
                </c:pt>
                <c:pt idx="2">
                  <c:v>96000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FFE-4B17-85C5-9AFBB4959C47}"/>
            </c:ext>
          </c:extLst>
        </c:ser>
        <c:ser>
          <c:idx val="2"/>
          <c:order val="2"/>
          <c:tx>
            <c:v>EGRESO FIJO</c:v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'PE1'!$A$4:$A$6</c:f>
              <c:numCache>
                <c:formatCode>_-* #,##0.00\ _€_-;\-* #,##0.00\ _€_-;_-* "-"??\ _€_-;_-@_-</c:formatCode>
                <c:ptCount val="3"/>
                <c:pt idx="0">
                  <c:v>0</c:v>
                </c:pt>
                <c:pt idx="1">
                  <c:v>4231.6713099041526</c:v>
                </c:pt>
                <c:pt idx="2">
                  <c:v>5078.0055718849826</c:v>
                </c:pt>
              </c:numCache>
            </c:numRef>
          </c:xVal>
          <c:yVal>
            <c:numRef>
              <c:f>'PE1'!$D$4:$D$6</c:f>
              <c:numCache>
                <c:formatCode>_-* #,##0.00\ _€_-;\-* #,##0.00\ _€_-;_-* "-"??\ _€_-;_-@_-</c:formatCode>
                <c:ptCount val="3"/>
                <c:pt idx="0">
                  <c:v>13515.44</c:v>
                </c:pt>
                <c:pt idx="1">
                  <c:v>13515.44</c:v>
                </c:pt>
                <c:pt idx="2">
                  <c:v>13515.44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FFE-4B17-85C5-9AFBB4959C47}"/>
            </c:ext>
          </c:extLst>
        </c:ser>
        <c:ser>
          <c:idx val="3"/>
          <c:order val="3"/>
          <c:tx>
            <c:v>EGRESO TOTAL</c:v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xVal>
            <c:numRef>
              <c:f>'PE1'!$A$4:$A$6</c:f>
              <c:numCache>
                <c:formatCode>_-* #,##0.00\ _€_-;\-* #,##0.00\ _€_-;_-* "-"??\ _€_-;_-@_-</c:formatCode>
                <c:ptCount val="3"/>
                <c:pt idx="0">
                  <c:v>0</c:v>
                </c:pt>
                <c:pt idx="1">
                  <c:v>4231.6713099041526</c:v>
                </c:pt>
                <c:pt idx="2">
                  <c:v>5078.0055718849826</c:v>
                </c:pt>
              </c:numCache>
            </c:numRef>
          </c:xVal>
          <c:yVal>
            <c:numRef>
              <c:f>'PE1'!$E$4:$E$6</c:f>
              <c:numCache>
                <c:formatCode>_-* #,##0.00\ _€_-;\-* #,##0.00\ _€_-;_-* "-"??\ _€_-;_-@_-</c:formatCode>
                <c:ptCount val="3"/>
                <c:pt idx="0">
                  <c:v>13515.44</c:v>
                </c:pt>
                <c:pt idx="1">
                  <c:v>93515.44</c:v>
                </c:pt>
                <c:pt idx="2">
                  <c:v>109515.44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FFE-4B17-85C5-9AFBB4959C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0832896"/>
        <c:axId val="230833472"/>
      </c:scatterChart>
      <c:valAx>
        <c:axId val="2308328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C"/>
                  <a:t>CANTIDAD</a:t>
                </a:r>
                <a:r>
                  <a:rPr lang="es-EC" baseline="0"/>
                  <a:t> DE PRODUCTOS</a:t>
                </a:r>
                <a:endParaRPr lang="es-EC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_-* #,##0.00\ _€_-;\-* #,##0.00\ _€_-;_-* &quot;-&quot;??\ _€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30833472"/>
        <c:crosses val="autoZero"/>
        <c:crossBetween val="midCat"/>
      </c:valAx>
      <c:valAx>
        <c:axId val="230833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C" b="1"/>
                  <a:t>INGRESOS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_-* #,##0.00\ _€_-;\-* #,##0.00\ _€_-;_-* &quot;-&quot;??\ _€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308328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133350</xdr:colOff>
      <xdr:row>9</xdr:row>
      <xdr:rowOff>180975</xdr:rowOff>
    </xdr:from>
    <xdr:ext cx="4057651" cy="895350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13058EB2-1FF4-4BB8-AED9-BA8B8F1D3705}"/>
                </a:ext>
              </a:extLst>
            </xdr:cNvPr>
            <xdr:cNvSpPr txBox="1"/>
          </xdr:nvSpPr>
          <xdr:spPr>
            <a:xfrm>
              <a:off x="3238500" y="2438400"/>
              <a:ext cx="4057651" cy="8953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endParaRPr lang="es-EC" sz="1100" i="0">
                <a:latin typeface="+mn-lt"/>
              </a:endParaRPr>
            </a:p>
            <a:p>
              <a:r>
                <a:rPr lang="es-EC" sz="1100" i="0">
                  <a:latin typeface="+mn-lt"/>
                </a:rPr>
                <a:t>RB</a:t>
              </a:r>
              <a:r>
                <a:rPr lang="es-EC" sz="1100" i="0" baseline="0">
                  <a:latin typeface="+mn-lt"/>
                </a:rPr>
                <a:t> / C </a:t>
              </a:r>
              <a14:m>
                <m:oMath xmlns:m="http://schemas.openxmlformats.org/officeDocument/2006/math">
                  <m:r>
                    <a:rPr lang="es-EC" sz="1100" i="1">
                      <a:latin typeface="Cambria Math" panose="02040503050406030204" pitchFamily="18" charset="0"/>
                    </a:rPr>
                    <m:t>=</m:t>
                  </m:r>
                  <m:nary>
                    <m:naryPr>
                      <m:chr m:val="∑"/>
                      <m:ctrlPr>
                        <a:rPr lang="es-EC" sz="1100" i="1">
                          <a:latin typeface="Cambria Math" panose="02040503050406030204" pitchFamily="18" charset="0"/>
                        </a:rPr>
                      </m:ctrlPr>
                    </m:naryPr>
                    <m:sub>
                      <m:r>
                        <m:rPr>
                          <m:brk m:alnAt="23"/>
                        </m:rPr>
                        <a:rPr lang="es-EC" sz="1100" b="0" i="1">
                          <a:latin typeface="Cambria Math" panose="02040503050406030204" pitchFamily="18" charset="0"/>
                        </a:rPr>
                        <m:t>𝑡</m:t>
                      </m:r>
                      <m:r>
                        <a:rPr lang="es-EC" sz="1100" i="1">
                          <a:latin typeface="Cambria Math" panose="02040503050406030204" pitchFamily="18" charset="0"/>
                        </a:rPr>
                        <m:t>=1</m:t>
                      </m:r>
                    </m:sub>
                    <m:sup>
                      <m:r>
                        <a:rPr lang="es-EC" sz="1100" b="0" i="1">
                          <a:latin typeface="Cambria Math" panose="02040503050406030204" pitchFamily="18" charset="0"/>
                        </a:rPr>
                        <m:t>𝑛</m:t>
                      </m:r>
                    </m:sup>
                    <m:e>
                      <m:f>
                        <m:fPr>
                          <m:ctrlPr>
                            <a:rPr lang="es-EC" sz="1100" i="1"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r>
                            <a:rPr lang="es-EC" sz="1100" b="0" i="1">
                              <a:latin typeface="Cambria Math" panose="02040503050406030204" pitchFamily="18" charset="0"/>
                            </a:rPr>
                            <m:t>𝑖𝑛𝑔𝑟𝑒𝑠𝑜𝑠</m:t>
                          </m:r>
                          <m:r>
                            <a:rPr lang="es-EC" sz="1100" b="0" i="1">
                              <a:latin typeface="Cambria Math" panose="02040503050406030204" pitchFamily="18" charset="0"/>
                            </a:rPr>
                            <m:t> </m:t>
                          </m:r>
                          <m:r>
                            <a:rPr lang="es-EC" sz="1100" b="0" i="1">
                              <a:latin typeface="Cambria Math" panose="02040503050406030204" pitchFamily="18" charset="0"/>
                            </a:rPr>
                            <m:t>𝑡𝑜𝑡𝑎𝑙𝑒𝑠</m:t>
                          </m:r>
                        </m:num>
                        <m:den>
                          <m:d>
                            <m:dPr>
                              <m:ctrlPr>
                                <a:rPr lang="es-EC" sz="1100" b="0" i="1">
                                  <a:latin typeface="Cambria Math" panose="02040503050406030204" pitchFamily="18" charset="0"/>
                                </a:rPr>
                              </m:ctrlPr>
                            </m:dPr>
                            <m:e>
                              <m:r>
                                <a:rPr lang="es-EC" sz="1100" b="0" i="1">
                                  <a:latin typeface="Cambria Math" panose="02040503050406030204" pitchFamily="18" charset="0"/>
                                </a:rPr>
                                <m:t> 1+</m:t>
                              </m:r>
                              <m:r>
                                <a:rPr lang="es-EC" sz="1100" b="0" i="1">
                                  <a:latin typeface="Cambria Math" panose="02040503050406030204" pitchFamily="18" charset="0"/>
                                </a:rPr>
                                <m:t>𝑖</m:t>
                              </m:r>
                              <m:r>
                                <a:rPr lang="es-EC" sz="1100" b="0" i="1">
                                  <a:latin typeface="Cambria Math" panose="02040503050406030204" pitchFamily="18" charset="0"/>
                                </a:rPr>
                                <m:t> </m:t>
                              </m:r>
                            </m:e>
                          </m:d>
                          <m:r>
                            <a:rPr lang="es-EC" sz="1100" b="0" i="1">
                              <a:latin typeface="Cambria Math" panose="02040503050406030204" pitchFamily="18" charset="0"/>
                            </a:rPr>
                            <m:t>𝑡</m:t>
                          </m:r>
                        </m:den>
                      </m:f>
                    </m:e>
                  </m:nary>
                </m:oMath>
              </a14:m>
              <a:endParaRPr lang="es-EC" sz="1100" i="0">
                <a:latin typeface="+mn-lt"/>
              </a:endParaRPr>
            </a:p>
            <a:p>
              <a:r>
                <a:rPr lang="es-EC" sz="1100"/>
                <a:t>                 </a:t>
              </a:r>
              <a14:m>
                <m:oMath xmlns:m="http://schemas.openxmlformats.org/officeDocument/2006/math">
                  <m:nary>
                    <m:naryPr>
                      <m:chr m:val="∑"/>
                      <m:ctrlPr>
                        <a:rPr lang="es-EC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naryPr>
                    <m:sub>
                      <m:r>
                        <m:rPr>
                          <m:brk m:alnAt="23"/>
                        </m:rPr>
                        <a:rPr lang="es-EC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𝑡</m:t>
                      </m:r>
                      <m:r>
                        <a:rPr lang="es-EC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=1</m:t>
                      </m:r>
                    </m:sub>
                    <m:sup>
                      <m:r>
                        <a:rPr lang="es-EC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𝑛</m:t>
                      </m:r>
                    </m:sup>
                    <m:e>
                      <m:f>
                        <m:fPr>
                          <m:ctrlPr>
                            <a:rPr lang="es-EC" sz="11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fPr>
                        <m:num>
                          <m:r>
                            <a:rPr lang="es-EC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𝑒𝑔𝑟𝑒𝑠𝑜𝑠</m:t>
                          </m:r>
                          <m:r>
                            <a:rPr lang="es-EC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 </m:t>
                          </m:r>
                          <m:r>
                            <a:rPr lang="es-EC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𝑡𝑜𝑡𝑎𝑙𝑒𝑠</m:t>
                          </m:r>
                        </m:num>
                        <m:den>
                          <m:d>
                            <m:dPr>
                              <m:ctrlPr>
                                <a:rPr lang="es-EC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dPr>
                            <m:e>
                              <m:r>
                                <a:rPr lang="es-EC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1+</m:t>
                              </m:r>
                              <m:r>
                                <a:rPr lang="es-EC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𝑖</m:t>
                              </m:r>
                              <m:r>
                                <a:rPr lang="es-EC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 </m:t>
                              </m:r>
                            </m:e>
                          </m:d>
                          <m:r>
                            <a:rPr lang="es-EC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𝑡</m:t>
                          </m:r>
                        </m:den>
                      </m:f>
                    </m:e>
                  </m:nary>
                </m:oMath>
              </a14:m>
              <a:endParaRPr lang="es-EC" sz="1100"/>
            </a:p>
          </xdr:txBody>
        </xdr:sp>
      </mc:Choice>
      <mc:Fallback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13058EB2-1FF4-4BB8-AED9-BA8B8F1D3705}"/>
                </a:ext>
              </a:extLst>
            </xdr:cNvPr>
            <xdr:cNvSpPr txBox="1"/>
          </xdr:nvSpPr>
          <xdr:spPr>
            <a:xfrm>
              <a:off x="3238500" y="2438400"/>
              <a:ext cx="4057651" cy="8953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endParaRPr lang="es-EC" sz="1100" i="0">
                <a:latin typeface="+mn-lt"/>
              </a:endParaRPr>
            </a:p>
            <a:p>
              <a:r>
                <a:rPr lang="es-EC" sz="1100" i="0">
                  <a:latin typeface="+mn-lt"/>
                </a:rPr>
                <a:t>RB</a:t>
              </a:r>
              <a:r>
                <a:rPr lang="es-EC" sz="1100" i="0" baseline="0">
                  <a:latin typeface="+mn-lt"/>
                </a:rPr>
                <a:t> / C </a:t>
              </a:r>
              <a:r>
                <a:rPr lang="es-EC" sz="1100" i="0">
                  <a:latin typeface="Cambria Math" panose="02040503050406030204" pitchFamily="18" charset="0"/>
                </a:rPr>
                <a:t>=∑_(</a:t>
              </a:r>
              <a:r>
                <a:rPr lang="es-EC" sz="1100" b="0" i="0">
                  <a:latin typeface="Cambria Math" panose="02040503050406030204" pitchFamily="18" charset="0"/>
                </a:rPr>
                <a:t>𝑡</a:t>
              </a:r>
              <a:r>
                <a:rPr lang="es-EC" sz="1100" i="0">
                  <a:latin typeface="Cambria Math" panose="02040503050406030204" pitchFamily="18" charset="0"/>
                </a:rPr>
                <a:t>=1)</a:t>
              </a:r>
              <a:r>
                <a:rPr lang="es-EC" sz="1100" b="0" i="0">
                  <a:latin typeface="Cambria Math" panose="02040503050406030204" pitchFamily="18" charset="0"/>
                </a:rPr>
                <a:t>^𝑛▒(𝑖𝑛𝑔𝑟𝑒𝑠𝑜𝑠 𝑡𝑜𝑡𝑎𝑙𝑒𝑠)/( 1+𝑖 )𝑡</a:t>
              </a:r>
              <a:endParaRPr lang="es-EC" sz="1100" i="0">
                <a:latin typeface="+mn-lt"/>
              </a:endParaRPr>
            </a:p>
            <a:p>
              <a:r>
                <a:rPr lang="es-EC" sz="1100"/>
                <a:t>                 </a:t>
              </a:r>
              <a:r>
                <a:rPr lang="es-EC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∑_(</a:t>
              </a:r>
              <a:r>
                <a:rPr lang="es-EC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𝑡</a:t>
              </a:r>
              <a:r>
                <a:rPr lang="es-EC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=1)</a:t>
              </a:r>
              <a:r>
                <a:rPr lang="es-EC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^𝑛▒(𝑒𝑔𝑟𝑒𝑠𝑜𝑠 𝑡𝑜𝑡𝑎𝑙𝑒𝑠)/( 1+𝑖 )𝑡</a:t>
              </a:r>
              <a:endParaRPr lang="es-EC" sz="11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9</xdr:row>
      <xdr:rowOff>47624</xdr:rowOff>
    </xdr:from>
    <xdr:to>
      <xdr:col>8</xdr:col>
      <xdr:colOff>247650</xdr:colOff>
      <xdr:row>37</xdr:row>
      <xdr:rowOff>95250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97C7B20-9A16-41B9-9B89-7DDEB9AC5A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os/Desktop/2024-1S-ABRIL/AGRO2024-1S/SEXTO/CASO-TMAR-P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os/Desktop/2024-1S-ABRIL/AGRO2024-1S/SEXTO/CASO-LIMPIE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AR"/>
      <sheetName val="PONDERACIÓN"/>
      <sheetName val="PE"/>
      <sheetName val="PE1"/>
    </sheetNames>
    <sheetDataSet>
      <sheetData sheetId="0" refreshError="1"/>
      <sheetData sheetId="1">
        <row r="19">
          <cell r="G19">
            <v>0.88050847457627102</v>
          </cell>
        </row>
      </sheetData>
      <sheetData sheetId="2" refreshError="1"/>
      <sheetData sheetId="3">
        <row r="4">
          <cell r="A4">
            <v>0</v>
          </cell>
          <cell r="B4">
            <v>0</v>
          </cell>
          <cell r="C4">
            <v>0</v>
          </cell>
          <cell r="D4">
            <v>33.36</v>
          </cell>
          <cell r="E4">
            <v>33.36</v>
          </cell>
        </row>
        <row r="5">
          <cell r="A5">
            <v>200</v>
          </cell>
          <cell r="B5">
            <v>176.1</v>
          </cell>
          <cell r="C5">
            <v>142.74</v>
          </cell>
          <cell r="D5">
            <v>33.359999999999985</v>
          </cell>
          <cell r="E5">
            <v>176.1</v>
          </cell>
        </row>
        <row r="6">
          <cell r="A6">
            <v>320</v>
          </cell>
          <cell r="B6">
            <v>281.76</v>
          </cell>
          <cell r="C6">
            <v>228.39</v>
          </cell>
          <cell r="D6">
            <v>33.36</v>
          </cell>
          <cell r="E6">
            <v>261.75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MANDA"/>
      <sheetName val="TAB AMOR"/>
      <sheetName val="VENTAS"/>
      <sheetName val="PROMO"/>
      <sheetName val="PRESMKT"/>
      <sheetName val="SYS"/>
      <sheetName val="DEP"/>
      <sheetName val="COST"/>
      <sheetName val="ER"/>
      <sheetName val="VAN-TIR"/>
      <sheetName val="ACUMUL"/>
      <sheetName val="BGENE"/>
    </sheetNames>
    <sheetDataSet>
      <sheetData sheetId="0"/>
      <sheetData sheetId="1">
        <row r="5">
          <cell r="D5">
            <v>510.5800166142389</v>
          </cell>
        </row>
        <row r="11">
          <cell r="D11">
            <v>427.29574231786756</v>
          </cell>
          <cell r="E11">
            <v>566.73402398185135</v>
          </cell>
        </row>
        <row r="12">
          <cell r="D12">
            <v>329.66401960604918</v>
          </cell>
          <cell r="E12">
            <v>664.36574669366973</v>
          </cell>
        </row>
        <row r="13">
          <cell r="D13">
            <v>215.21320208727676</v>
          </cell>
          <cell r="E13">
            <v>778.81656421244236</v>
          </cell>
        </row>
        <row r="14">
          <cell r="D14">
            <v>81.045850873164412</v>
          </cell>
          <cell r="E14">
            <v>912.98391542655452</v>
          </cell>
        </row>
      </sheetData>
      <sheetData sheetId="2">
        <row r="5">
          <cell r="C5">
            <v>2</v>
          </cell>
        </row>
      </sheetData>
      <sheetData sheetId="3"/>
      <sheetData sheetId="4"/>
      <sheetData sheetId="5">
        <row r="19">
          <cell r="I19">
            <v>8069.0000000000009</v>
          </cell>
        </row>
      </sheetData>
      <sheetData sheetId="6">
        <row r="11">
          <cell r="E11">
            <v>1640</v>
          </cell>
          <cell r="F11">
            <v>1640</v>
          </cell>
          <cell r="G11">
            <v>1640</v>
          </cell>
          <cell r="H11">
            <v>1560</v>
          </cell>
          <cell r="I11">
            <v>1560</v>
          </cell>
        </row>
        <row r="18">
          <cell r="F18">
            <v>120</v>
          </cell>
          <cell r="G18">
            <v>120</v>
          </cell>
          <cell r="H18">
            <v>120</v>
          </cell>
          <cell r="I18">
            <v>120</v>
          </cell>
        </row>
      </sheetData>
      <sheetData sheetId="7">
        <row r="7">
          <cell r="F7">
            <v>11533</v>
          </cell>
        </row>
      </sheetData>
      <sheetData sheetId="8">
        <row r="5">
          <cell r="D5">
            <v>31634.86</v>
          </cell>
        </row>
      </sheetData>
      <sheetData sheetId="9">
        <row r="6">
          <cell r="I6">
            <v>-13045.616236192416</v>
          </cell>
        </row>
      </sheetData>
      <sheetData sheetId="10"/>
      <sheetData sheetId="11">
        <row r="11">
          <cell r="B11" t="str">
            <v>Muebles de oficina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ontenido.bce.fin.ec/resumen_ticker.php?ticker_value=activa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1B23B-0D26-4A48-B115-516C89EBFBDA}">
  <dimension ref="A1:D16"/>
  <sheetViews>
    <sheetView workbookViewId="0">
      <selection activeCell="D9" sqref="D9"/>
    </sheetView>
  </sheetViews>
  <sheetFormatPr baseColWidth="10" defaultRowHeight="14.25" x14ac:dyDescent="0.45"/>
  <cols>
    <col min="1" max="1" width="21.73046875" customWidth="1"/>
    <col min="2" max="2" width="16" customWidth="1"/>
    <col min="4" max="4" width="17.33203125" customWidth="1"/>
  </cols>
  <sheetData>
    <row r="1" spans="1:4" ht="14.65" thickBot="1" x14ac:dyDescent="0.5"/>
    <row r="2" spans="1:4" ht="15.75" thickBot="1" x14ac:dyDescent="0.5">
      <c r="A2" s="1" t="s">
        <v>0</v>
      </c>
      <c r="B2" s="2"/>
      <c r="C2" s="2"/>
      <c r="D2" s="3"/>
    </row>
    <row r="3" spans="1:4" ht="15.75" thickBot="1" x14ac:dyDescent="0.5">
      <c r="A3" s="4" t="s">
        <v>1</v>
      </c>
      <c r="B3" s="4" t="s">
        <v>2</v>
      </c>
      <c r="C3" s="4" t="s">
        <v>0</v>
      </c>
      <c r="D3" s="4" t="s">
        <v>3</v>
      </c>
    </row>
    <row r="4" spans="1:4" ht="15.4" x14ac:dyDescent="0.45">
      <c r="A4" s="5" t="s">
        <v>4</v>
      </c>
      <c r="B4" s="6">
        <v>0.1</v>
      </c>
      <c r="C4" s="7">
        <f>SUM(B10:B11)</f>
        <v>7.9000000000000001E-2</v>
      </c>
      <c r="D4" s="8">
        <f>B4*C4</f>
        <v>7.9000000000000008E-3</v>
      </c>
    </row>
    <row r="5" spans="1:4" ht="15.75" thickBot="1" x14ac:dyDescent="0.5">
      <c r="A5" s="9" t="s">
        <v>5</v>
      </c>
      <c r="B5" s="10">
        <v>0.9</v>
      </c>
      <c r="C5" s="7">
        <v>0.1183</v>
      </c>
      <c r="D5" s="8">
        <f>B5*C5</f>
        <v>0.10647000000000001</v>
      </c>
    </row>
    <row r="6" spans="1:4" ht="15.75" thickBot="1" x14ac:dyDescent="0.5">
      <c r="A6" s="1" t="s">
        <v>6</v>
      </c>
      <c r="B6" s="2"/>
      <c r="C6" s="2"/>
      <c r="D6" s="11">
        <f>SUM(D4:D5)</f>
        <v>0.11437000000000001</v>
      </c>
    </row>
    <row r="8" spans="1:4" x14ac:dyDescent="0.45">
      <c r="A8" s="12" t="s">
        <v>7</v>
      </c>
      <c r="B8" s="13"/>
    </row>
    <row r="9" spans="1:4" x14ac:dyDescent="0.45">
      <c r="A9" s="14"/>
      <c r="B9" s="15"/>
    </row>
    <row r="10" spans="1:4" ht="15.4" x14ac:dyDescent="0.45">
      <c r="A10" s="16" t="s">
        <v>8</v>
      </c>
      <c r="B10" s="17">
        <v>1.8E-3</v>
      </c>
    </row>
    <row r="11" spans="1:4" ht="15.4" x14ac:dyDescent="0.45">
      <c r="A11" s="16" t="s">
        <v>9</v>
      </c>
      <c r="B11" s="17">
        <v>7.7200000000000005E-2</v>
      </c>
    </row>
    <row r="13" spans="1:4" x14ac:dyDescent="0.45">
      <c r="A13" t="s">
        <v>10</v>
      </c>
    </row>
    <row r="14" spans="1:4" x14ac:dyDescent="0.45">
      <c r="A14" s="18" t="s">
        <v>11</v>
      </c>
    </row>
    <row r="16" spans="1:4" ht="131.25" customHeight="1" x14ac:dyDescent="0.45">
      <c r="A16" s="19" t="s">
        <v>12</v>
      </c>
      <c r="B16" s="19"/>
      <c r="C16" s="19"/>
      <c r="D16" s="19"/>
    </row>
  </sheetData>
  <mergeCells count="4">
    <mergeCell ref="A2:D2"/>
    <mergeCell ref="A6:C6"/>
    <mergeCell ref="A8:B9"/>
    <mergeCell ref="A16:D16"/>
  </mergeCells>
  <hyperlinks>
    <hyperlink ref="A14" r:id="rId1" xr:uid="{53C9B91E-20FD-48C8-AE07-883895FC009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2760C-9C46-4087-86E9-507E64AFAC01}">
  <dimension ref="B3:K22"/>
  <sheetViews>
    <sheetView workbookViewId="0">
      <selection activeCell="B5" sqref="B5"/>
    </sheetView>
  </sheetViews>
  <sheetFormatPr baseColWidth="10" defaultRowHeight="14.25" x14ac:dyDescent="0.45"/>
  <cols>
    <col min="2" max="2" width="26.3984375" bestFit="1" customWidth="1"/>
    <col min="3" max="3" width="11.265625" bestFit="1" customWidth="1"/>
    <col min="4" max="4" width="11.1328125" style="81" bestFit="1" customWidth="1"/>
    <col min="5" max="5" width="11.9296875" style="81" customWidth="1"/>
    <col min="6" max="6" width="11.59765625" style="81" customWidth="1"/>
    <col min="7" max="7" width="12" style="81" customWidth="1"/>
    <col min="8" max="8" width="11.19921875" customWidth="1"/>
    <col min="10" max="10" width="12.59765625" bestFit="1" customWidth="1"/>
  </cols>
  <sheetData>
    <row r="3" spans="2:11" x14ac:dyDescent="0.45">
      <c r="B3" s="73"/>
      <c r="C3" s="73"/>
      <c r="D3" s="74">
        <v>2021</v>
      </c>
      <c r="E3" s="74">
        <v>2022</v>
      </c>
      <c r="F3" s="74">
        <v>2023</v>
      </c>
      <c r="G3" s="74">
        <v>2024</v>
      </c>
      <c r="H3" s="74">
        <v>2025</v>
      </c>
    </row>
    <row r="4" spans="2:11" x14ac:dyDescent="0.45">
      <c r="B4" s="73" t="s">
        <v>36</v>
      </c>
      <c r="C4" s="73"/>
      <c r="D4" s="75">
        <v>141605.43</v>
      </c>
      <c r="E4" s="75">
        <f>D4*1.07</f>
        <v>151517.8101</v>
      </c>
      <c r="F4" s="75">
        <f>E4*1.05</f>
        <v>159093.70060500002</v>
      </c>
      <c r="G4" s="75">
        <f t="shared" ref="F4:H5" si="0">F4*1.05</f>
        <v>167048.38563525002</v>
      </c>
      <c r="H4" s="75">
        <f t="shared" si="0"/>
        <v>175400.80491701252</v>
      </c>
      <c r="J4" t="s">
        <v>52</v>
      </c>
    </row>
    <row r="5" spans="2:11" x14ac:dyDescent="0.45">
      <c r="B5" s="73" t="s">
        <v>37</v>
      </c>
      <c r="C5" s="73"/>
      <c r="D5" s="75">
        <v>80000</v>
      </c>
      <c r="E5" s="75">
        <f>D5*1.05</f>
        <v>84000</v>
      </c>
      <c r="F5" s="75">
        <f t="shared" si="0"/>
        <v>88200</v>
      </c>
      <c r="G5" s="75">
        <f t="shared" si="0"/>
        <v>92610</v>
      </c>
      <c r="H5" s="75">
        <f t="shared" si="0"/>
        <v>97240.5</v>
      </c>
      <c r="J5" t="s">
        <v>53</v>
      </c>
    </row>
    <row r="6" spans="2:11" x14ac:dyDescent="0.45">
      <c r="B6" s="73" t="s">
        <v>38</v>
      </c>
      <c r="C6" s="73"/>
      <c r="D6" s="75">
        <f>D4-D5</f>
        <v>61605.429999999993</v>
      </c>
      <c r="E6" s="75">
        <f t="shared" ref="E6:H6" si="1">E4-E5</f>
        <v>67517.810100000002</v>
      </c>
      <c r="F6" s="75">
        <f t="shared" si="1"/>
        <v>70893.70060500002</v>
      </c>
      <c r="G6" s="75">
        <f t="shared" si="1"/>
        <v>74438.385635250015</v>
      </c>
      <c r="H6" s="75">
        <f t="shared" si="1"/>
        <v>78160.304917012516</v>
      </c>
    </row>
    <row r="7" spans="2:11" x14ac:dyDescent="0.45">
      <c r="B7" s="73" t="s">
        <v>39</v>
      </c>
      <c r="C7" s="73"/>
      <c r="D7" s="75">
        <v>8500</v>
      </c>
      <c r="E7" s="75">
        <f>D7*1.05</f>
        <v>8925</v>
      </c>
      <c r="F7" s="75">
        <f t="shared" ref="F7:H8" si="2">E7*1.05</f>
        <v>9371.25</v>
      </c>
      <c r="G7" s="75">
        <f t="shared" si="2"/>
        <v>9839.8125</v>
      </c>
      <c r="H7" s="75">
        <f t="shared" si="2"/>
        <v>10331.803125</v>
      </c>
      <c r="J7" s="76"/>
      <c r="K7" s="76"/>
    </row>
    <row r="8" spans="2:11" x14ac:dyDescent="0.45">
      <c r="B8" s="73" t="s">
        <v>40</v>
      </c>
      <c r="C8" s="73"/>
      <c r="D8" s="75">
        <v>3500</v>
      </c>
      <c r="E8" s="75">
        <f>D8*1.05</f>
        <v>3675</v>
      </c>
      <c r="F8" s="75">
        <f t="shared" si="2"/>
        <v>3858.75</v>
      </c>
      <c r="G8" s="75">
        <f t="shared" si="2"/>
        <v>4051.6875</v>
      </c>
      <c r="H8" s="75">
        <f>G8*1.05</f>
        <v>4254.2718750000004</v>
      </c>
    </row>
    <row r="9" spans="2:11" x14ac:dyDescent="0.45">
      <c r="B9" s="73" t="s">
        <v>41</v>
      </c>
      <c r="C9" s="73"/>
      <c r="D9" s="75">
        <v>890</v>
      </c>
      <c r="E9" s="75">
        <f>'[2]TAB AMOR'!D11</f>
        <v>427.29574231786756</v>
      </c>
      <c r="F9" s="75">
        <f>'[2]TAB AMOR'!D12</f>
        <v>329.66401960604918</v>
      </c>
      <c r="G9" s="75">
        <f>'[2]TAB AMOR'!D13</f>
        <v>215.21320208727676</v>
      </c>
      <c r="H9" s="75">
        <f>'[2]TAB AMOR'!D14</f>
        <v>81.045850873164412</v>
      </c>
      <c r="J9" s="77"/>
      <c r="K9" s="77"/>
    </row>
    <row r="10" spans="2:11" x14ac:dyDescent="0.45">
      <c r="B10" s="73" t="s">
        <v>42</v>
      </c>
      <c r="C10" s="73"/>
      <c r="D10" s="75">
        <f>D6-D7-D8-D9</f>
        <v>48715.429999999993</v>
      </c>
      <c r="E10" s="75">
        <f t="shared" ref="E10:H10" si="3">E6-E7-E8-E9</f>
        <v>54490.514357682136</v>
      </c>
      <c r="F10" s="75">
        <f t="shared" si="3"/>
        <v>57334.036585393973</v>
      </c>
      <c r="G10" s="75">
        <f t="shared" si="3"/>
        <v>60331.672433162741</v>
      </c>
      <c r="H10" s="75">
        <f t="shared" si="3"/>
        <v>63493.184066139351</v>
      </c>
    </row>
    <row r="11" spans="2:11" x14ac:dyDescent="0.45">
      <c r="B11" s="73" t="s">
        <v>43</v>
      </c>
      <c r="C11" s="73"/>
      <c r="D11" s="75">
        <f>D10*0.15</f>
        <v>7307.3144999999986</v>
      </c>
      <c r="E11" s="75">
        <f t="shared" ref="E11:H11" si="4">E10*0.15</f>
        <v>8173.5771536523198</v>
      </c>
      <c r="F11" s="75">
        <f t="shared" si="4"/>
        <v>8600.1054878090963</v>
      </c>
      <c r="G11" s="75">
        <f t="shared" si="4"/>
        <v>9049.7508649744104</v>
      </c>
      <c r="H11" s="75">
        <f t="shared" si="4"/>
        <v>9523.977609920903</v>
      </c>
    </row>
    <row r="12" spans="2:11" x14ac:dyDescent="0.45">
      <c r="B12" s="73" t="s">
        <v>44</v>
      </c>
      <c r="C12" s="73"/>
      <c r="D12" s="75">
        <f>D10-D11</f>
        <v>41408.115499999993</v>
      </c>
      <c r="E12" s="75">
        <f t="shared" ref="E12:H12" si="5">E10-E11</f>
        <v>46316.937204029819</v>
      </c>
      <c r="F12" s="75">
        <f t="shared" si="5"/>
        <v>48733.931097584878</v>
      </c>
      <c r="G12" s="75">
        <f t="shared" si="5"/>
        <v>51281.921568188329</v>
      </c>
      <c r="H12" s="75">
        <f t="shared" si="5"/>
        <v>53969.206456218446</v>
      </c>
    </row>
    <row r="13" spans="2:11" x14ac:dyDescent="0.45">
      <c r="B13" s="73" t="s">
        <v>45</v>
      </c>
      <c r="C13" s="73"/>
      <c r="D13" s="78">
        <f>28.62*12</f>
        <v>343.44</v>
      </c>
      <c r="E13" s="75">
        <f>D13*1.05</f>
        <v>360.61200000000002</v>
      </c>
      <c r="F13" s="75">
        <f t="shared" ref="F13:H13" si="6">E13*1.05</f>
        <v>378.64260000000002</v>
      </c>
      <c r="G13" s="75">
        <f t="shared" si="6"/>
        <v>397.57473000000005</v>
      </c>
      <c r="H13" s="75">
        <f t="shared" si="6"/>
        <v>417.45346650000005</v>
      </c>
    </row>
    <row r="14" spans="2:11" x14ac:dyDescent="0.45">
      <c r="B14" s="73" t="s">
        <v>46</v>
      </c>
      <c r="C14" s="73"/>
      <c r="D14" s="75">
        <f>D12-D13</f>
        <v>41064.67549999999</v>
      </c>
      <c r="E14" s="75">
        <f t="shared" ref="E14:H14" si="7">E12-E13</f>
        <v>45956.325204029818</v>
      </c>
      <c r="F14" s="75">
        <f t="shared" si="7"/>
        <v>48355.288497584879</v>
      </c>
      <c r="G14" s="75">
        <f t="shared" si="7"/>
        <v>50884.346838188329</v>
      </c>
      <c r="H14" s="75">
        <f t="shared" si="7"/>
        <v>53551.752989718443</v>
      </c>
    </row>
    <row r="15" spans="2:11" x14ac:dyDescent="0.45">
      <c r="B15" s="73" t="s">
        <v>47</v>
      </c>
      <c r="C15" s="73"/>
      <c r="D15" s="75">
        <v>1560</v>
      </c>
      <c r="E15" s="75">
        <f>[2]DEP!F11</f>
        <v>1640</v>
      </c>
      <c r="F15" s="75">
        <f>[2]DEP!G11</f>
        <v>1640</v>
      </c>
      <c r="G15" s="75">
        <f>[2]DEP!H11</f>
        <v>1560</v>
      </c>
      <c r="H15" s="75">
        <f>[2]DEP!I11</f>
        <v>1560</v>
      </c>
    </row>
    <row r="16" spans="2:11" x14ac:dyDescent="0.45">
      <c r="B16" s="73" t="s">
        <v>48</v>
      </c>
      <c r="C16" s="73"/>
      <c r="D16" s="75">
        <v>220</v>
      </c>
      <c r="E16" s="75">
        <f>[2]DEP!F18</f>
        <v>120</v>
      </c>
      <c r="F16" s="75">
        <f>[2]DEP!G18</f>
        <v>120</v>
      </c>
      <c r="G16" s="75">
        <f>[2]DEP!H18</f>
        <v>120</v>
      </c>
      <c r="H16" s="75">
        <f>[2]DEP!I18</f>
        <v>120</v>
      </c>
    </row>
    <row r="17" spans="2:8" x14ac:dyDescent="0.45">
      <c r="B17" s="73" t="s">
        <v>49</v>
      </c>
      <c r="C17" s="73"/>
      <c r="D17" s="75">
        <v>540</v>
      </c>
      <c r="E17" s="75">
        <f>'[2]TAB AMOR'!E11</f>
        <v>566.73402398185135</v>
      </c>
      <c r="F17" s="75">
        <f>'[2]TAB AMOR'!E12</f>
        <v>664.36574669366973</v>
      </c>
      <c r="G17" s="75">
        <f>'[2]TAB AMOR'!E13</f>
        <v>778.81656421244236</v>
      </c>
      <c r="H17" s="75">
        <f>'[2]TAB AMOR'!E14</f>
        <v>912.98391542655452</v>
      </c>
    </row>
    <row r="18" spans="2:8" x14ac:dyDescent="0.45">
      <c r="B18" s="73" t="s">
        <v>50</v>
      </c>
      <c r="C18" s="79">
        <v>-92754.5</v>
      </c>
      <c r="D18" s="75">
        <f>D14+D15+D16-D17</f>
        <v>42304.67549999999</v>
      </c>
      <c r="E18" s="75">
        <f t="shared" ref="E18:H18" si="8">E14+E15+E16-E17</f>
        <v>47149.591180047966</v>
      </c>
      <c r="F18" s="75">
        <f t="shared" si="8"/>
        <v>49450.922750891208</v>
      </c>
      <c r="G18" s="75">
        <f t="shared" si="8"/>
        <v>51785.530273975884</v>
      </c>
      <c r="H18" s="75">
        <f t="shared" si="8"/>
        <v>54318.769074291886</v>
      </c>
    </row>
    <row r="20" spans="2:8" x14ac:dyDescent="0.45">
      <c r="C20" t="s">
        <v>51</v>
      </c>
      <c r="D20" s="80">
        <f>IRR(C18:H18)</f>
        <v>0.41897360061921951</v>
      </c>
    </row>
    <row r="21" spans="2:8" x14ac:dyDescent="0.45">
      <c r="C21" s="82"/>
    </row>
    <row r="22" spans="2:8" x14ac:dyDescent="0.45">
      <c r="C22" s="83"/>
    </row>
  </sheetData>
  <pageMargins left="0.7" right="0.7" top="0.75" bottom="0.75" header="0.3" footer="0.3"/>
  <ignoredErrors>
    <ignoredError sqref="D13 E6:H1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C6E29-8946-4085-8A3A-BF1BFE682563}">
  <dimension ref="A1:G17"/>
  <sheetViews>
    <sheetView workbookViewId="0">
      <selection activeCell="A11" sqref="A11:F15"/>
    </sheetView>
  </sheetViews>
  <sheetFormatPr baseColWidth="10" defaultRowHeight="15" x14ac:dyDescent="0.4"/>
  <cols>
    <col min="1" max="1" width="11.86328125" style="20" bestFit="1" customWidth="1"/>
    <col min="2" max="2" width="16.6640625" style="20" bestFit="1" customWidth="1"/>
    <col min="3" max="3" width="14.9296875" style="20" customWidth="1"/>
    <col min="4" max="4" width="25.33203125" style="20" customWidth="1"/>
    <col min="5" max="5" width="22.265625" style="20" customWidth="1"/>
    <col min="6" max="6" width="18.796875" style="20" customWidth="1"/>
    <col min="7" max="16384" width="10.6640625" style="20"/>
  </cols>
  <sheetData>
    <row r="1" spans="1:7" ht="15.75" x14ac:dyDescent="0.5">
      <c r="A1" s="84"/>
      <c r="B1" s="84"/>
      <c r="C1" s="84"/>
      <c r="D1" s="84"/>
      <c r="E1" s="84"/>
      <c r="F1" s="84"/>
      <c r="G1" s="84"/>
    </row>
    <row r="2" spans="1:7" ht="45" customHeight="1" x14ac:dyDescent="0.5">
      <c r="A2" s="85" t="s">
        <v>13</v>
      </c>
      <c r="B2" s="85" t="s">
        <v>54</v>
      </c>
      <c r="C2" s="86" t="s">
        <v>55</v>
      </c>
      <c r="D2" s="87" t="s">
        <v>56</v>
      </c>
      <c r="E2" s="88" t="s">
        <v>14</v>
      </c>
      <c r="F2" s="88" t="s">
        <v>15</v>
      </c>
      <c r="G2" s="84"/>
    </row>
    <row r="3" spans="1:7" ht="27.75" customHeight="1" x14ac:dyDescent="0.5">
      <c r="A3" s="85"/>
      <c r="B3" s="85"/>
      <c r="C3" s="89"/>
      <c r="D3" s="87" t="s">
        <v>16</v>
      </c>
      <c r="E3" s="88"/>
      <c r="F3" s="88"/>
      <c r="G3" s="84"/>
    </row>
    <row r="4" spans="1:7" ht="15.75" x14ac:dyDescent="0.5">
      <c r="A4" s="90">
        <v>0</v>
      </c>
      <c r="B4" s="91">
        <v>0</v>
      </c>
      <c r="C4" s="91">
        <f>FLC!C18*-1</f>
        <v>92754.5</v>
      </c>
      <c r="D4" s="91">
        <f>+(1+11.44%)^0</f>
        <v>1</v>
      </c>
      <c r="E4" s="91">
        <v>0</v>
      </c>
      <c r="F4" s="91">
        <f>C4</f>
        <v>92754.5</v>
      </c>
      <c r="G4" s="84"/>
    </row>
    <row r="5" spans="1:7" ht="15.75" x14ac:dyDescent="0.5">
      <c r="A5" s="90">
        <v>1</v>
      </c>
      <c r="B5" s="91">
        <f>FLC!D18</f>
        <v>42304.67549999999</v>
      </c>
      <c r="C5" s="91"/>
      <c r="D5" s="91">
        <f>+(1+11.44%)^A5</f>
        <v>1.1144000000000001</v>
      </c>
      <c r="E5" s="91">
        <f>B5/D5</f>
        <v>37961.840900933224</v>
      </c>
      <c r="F5" s="91"/>
      <c r="G5" s="84"/>
    </row>
    <row r="6" spans="1:7" ht="15.75" x14ac:dyDescent="0.5">
      <c r="A6" s="90">
        <v>2</v>
      </c>
      <c r="B6" s="91">
        <f>FLC!E18</f>
        <v>47149.591180047966</v>
      </c>
      <c r="C6" s="91"/>
      <c r="D6" s="91">
        <f>+(1+11.44%)^A6</f>
        <v>1.2418873600000002</v>
      </c>
      <c r="E6" s="91">
        <f t="shared" ref="E6:E9" si="0">B6/D6</f>
        <v>37966.077036203955</v>
      </c>
      <c r="F6" s="91"/>
      <c r="G6" s="84"/>
    </row>
    <row r="7" spans="1:7" ht="15.75" x14ac:dyDescent="0.5">
      <c r="A7" s="90">
        <v>3</v>
      </c>
      <c r="B7" s="91">
        <f>FLC!F18</f>
        <v>49450.922750891208</v>
      </c>
      <c r="C7" s="91"/>
      <c r="D7" s="91">
        <f>+(1+11.44%)^A7</f>
        <v>1.3839592739840003</v>
      </c>
      <c r="E7" s="91">
        <f t="shared" si="0"/>
        <v>35731.486959538161</v>
      </c>
      <c r="F7" s="91"/>
      <c r="G7" s="84"/>
    </row>
    <row r="8" spans="1:7" ht="15.75" x14ac:dyDescent="0.5">
      <c r="A8" s="90">
        <v>4</v>
      </c>
      <c r="B8" s="91">
        <f>FLC!G18</f>
        <v>51785.530273975884</v>
      </c>
      <c r="C8" s="91"/>
      <c r="D8" s="91">
        <f>+(1+11.44%)^A8</f>
        <v>1.5422842149277702</v>
      </c>
      <c r="E8" s="91">
        <f t="shared" si="0"/>
        <v>33577.164165167283</v>
      </c>
      <c r="F8" s="91"/>
      <c r="G8" s="84"/>
    </row>
    <row r="9" spans="1:7" ht="15.75" x14ac:dyDescent="0.5">
      <c r="A9" s="90">
        <v>5</v>
      </c>
      <c r="B9" s="91">
        <f>FLC!H18</f>
        <v>54318.769074291886</v>
      </c>
      <c r="C9" s="91"/>
      <c r="D9" s="91">
        <f>+(1+11.44%)^A9</f>
        <v>1.7187215291155071</v>
      </c>
      <c r="E9" s="91">
        <f t="shared" si="0"/>
        <v>31604.170980650688</v>
      </c>
      <c r="F9" s="91"/>
      <c r="G9" s="84"/>
    </row>
    <row r="10" spans="1:7" ht="15.75" x14ac:dyDescent="0.5">
      <c r="A10" s="92">
        <f>AVERAGE(D4:D9)</f>
        <v>1.3335420630045463</v>
      </c>
      <c r="B10" s="93"/>
      <c r="C10" s="93"/>
      <c r="D10" s="93"/>
      <c r="E10" s="94">
        <f>SUM(E4:E9)</f>
        <v>176840.74004249333</v>
      </c>
      <c r="F10" s="94">
        <f>SUM(F4:F9)</f>
        <v>92754.5</v>
      </c>
      <c r="G10" s="84"/>
    </row>
    <row r="11" spans="1:7" ht="15.75" x14ac:dyDescent="0.5">
      <c r="A11" s="93"/>
      <c r="B11" s="93"/>
      <c r="C11" s="93"/>
      <c r="D11" s="93"/>
      <c r="E11" s="93"/>
      <c r="F11" s="93"/>
      <c r="G11" s="84"/>
    </row>
    <row r="12" spans="1:7" ht="15.75" x14ac:dyDescent="0.5">
      <c r="A12" s="93"/>
      <c r="B12" s="93"/>
      <c r="C12" s="93"/>
      <c r="D12" s="93"/>
      <c r="E12" s="93"/>
      <c r="F12" s="93"/>
      <c r="G12" s="84"/>
    </row>
    <row r="13" spans="1:7" ht="15.75" x14ac:dyDescent="0.5">
      <c r="A13" s="93"/>
      <c r="B13" s="93"/>
      <c r="C13" s="93"/>
      <c r="D13" s="93"/>
      <c r="E13" s="93"/>
      <c r="F13" s="93"/>
      <c r="G13" s="84"/>
    </row>
    <row r="14" spans="1:7" ht="15.75" x14ac:dyDescent="0.5">
      <c r="A14" s="93"/>
      <c r="B14" s="93"/>
      <c r="C14" s="93"/>
      <c r="D14" s="93"/>
      <c r="E14" s="93"/>
      <c r="F14" s="93"/>
      <c r="G14" s="84"/>
    </row>
    <row r="15" spans="1:7" ht="15.75" x14ac:dyDescent="0.5">
      <c r="A15" s="93"/>
      <c r="B15" s="93"/>
      <c r="C15" s="93"/>
      <c r="D15" s="93"/>
      <c r="E15" s="93"/>
      <c r="F15" s="93"/>
      <c r="G15" s="84"/>
    </row>
    <row r="16" spans="1:7" ht="15.75" x14ac:dyDescent="0.5">
      <c r="A16" s="95" t="s">
        <v>17</v>
      </c>
      <c r="B16" s="96">
        <f>E10/F10</f>
        <v>1.9065462057635298</v>
      </c>
      <c r="C16" s="96"/>
      <c r="D16" s="96"/>
      <c r="E16" s="96"/>
      <c r="F16" s="96"/>
      <c r="G16" s="84"/>
    </row>
    <row r="17" spans="1:7" ht="15.75" x14ac:dyDescent="0.5">
      <c r="A17" s="84"/>
      <c r="B17" s="84"/>
      <c r="C17" s="84"/>
      <c r="D17" s="84"/>
      <c r="E17" s="84"/>
      <c r="F17" s="84"/>
      <c r="G17" s="84"/>
    </row>
  </sheetData>
  <mergeCells count="8">
    <mergeCell ref="A11:F15"/>
    <mergeCell ref="B16:F16"/>
    <mergeCell ref="C2:C3"/>
    <mergeCell ref="A2:A3"/>
    <mergeCell ref="B2:B3"/>
    <mergeCell ref="E2:E3"/>
    <mergeCell ref="F2:F3"/>
    <mergeCell ref="A10:D10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79B0C-4381-445E-A74E-8B4E19377ECE}">
  <dimension ref="B1:H24"/>
  <sheetViews>
    <sheetView topLeftCell="A7" zoomScale="90" zoomScaleNormal="90" workbookViewId="0">
      <selection activeCell="K14" sqref="K14"/>
    </sheetView>
  </sheetViews>
  <sheetFormatPr baseColWidth="10" defaultRowHeight="14.25" x14ac:dyDescent="0.45"/>
  <cols>
    <col min="2" max="2" width="4.6640625" customWidth="1"/>
    <col min="3" max="3" width="3.59765625" customWidth="1"/>
    <col min="4" max="4" width="13.86328125" customWidth="1"/>
    <col min="5" max="5" width="16.1328125" customWidth="1"/>
    <col min="6" max="6" width="14.796875" customWidth="1"/>
    <col min="8" max="8" width="17.19921875" customWidth="1"/>
  </cols>
  <sheetData>
    <row r="1" spans="2:8" ht="14.65" thickBot="1" x14ac:dyDescent="0.5"/>
    <row r="2" spans="2:8" ht="15.75" thickBot="1" x14ac:dyDescent="0.5">
      <c r="B2" s="48" t="s">
        <v>29</v>
      </c>
      <c r="C2" s="47"/>
      <c r="D2" s="47"/>
      <c r="E2" s="47"/>
      <c r="F2" s="46"/>
    </row>
    <row r="3" spans="2:8" ht="18.75" customHeight="1" x14ac:dyDescent="0.45">
      <c r="B3" s="27" t="s">
        <v>19</v>
      </c>
      <c r="C3" s="26" t="s">
        <v>18</v>
      </c>
      <c r="D3" s="45" t="s">
        <v>25</v>
      </c>
      <c r="E3" s="45"/>
      <c r="F3" s="40"/>
    </row>
    <row r="4" spans="2:8" ht="48" customHeight="1" thickBot="1" x14ac:dyDescent="0.5">
      <c r="B4" s="27"/>
      <c r="C4" s="26"/>
      <c r="D4" s="57" t="s">
        <v>28</v>
      </c>
      <c r="E4" s="55" t="s">
        <v>23</v>
      </c>
      <c r="F4" s="54"/>
    </row>
    <row r="5" spans="2:8" ht="15.75" thickBot="1" x14ac:dyDescent="0.5">
      <c r="B5" s="27"/>
      <c r="C5" s="26"/>
      <c r="D5" s="56"/>
      <c r="E5" s="55"/>
      <c r="F5" s="54"/>
      <c r="H5" s="33" t="s">
        <v>27</v>
      </c>
    </row>
    <row r="6" spans="2:8" ht="15.75" thickBot="1" x14ac:dyDescent="0.5">
      <c r="B6" s="27" t="s">
        <v>19</v>
      </c>
      <c r="C6" s="26" t="s">
        <v>18</v>
      </c>
      <c r="D6" s="53">
        <v>0</v>
      </c>
      <c r="E6" s="53"/>
      <c r="F6" s="52"/>
      <c r="H6" s="51">
        <f>D9</f>
        <v>0</v>
      </c>
    </row>
    <row r="7" spans="2:8" ht="15.4" x14ac:dyDescent="0.45">
      <c r="B7" s="27"/>
      <c r="C7" s="26"/>
      <c r="D7" s="26">
        <f>3.13-2.5</f>
        <v>0.62999999999999989</v>
      </c>
      <c r="E7" s="26"/>
      <c r="F7" s="25"/>
    </row>
    <row r="8" spans="2:8" ht="15.4" x14ac:dyDescent="0.45">
      <c r="B8" s="27"/>
      <c r="C8" s="26"/>
      <c r="D8" s="26"/>
      <c r="E8" s="26"/>
      <c r="F8" s="25"/>
    </row>
    <row r="9" spans="2:8" ht="15.75" thickBot="1" x14ac:dyDescent="0.5">
      <c r="B9" s="24" t="s">
        <v>19</v>
      </c>
      <c r="C9" s="23" t="s">
        <v>18</v>
      </c>
      <c r="D9" s="50">
        <f>D6/D7</f>
        <v>0</v>
      </c>
      <c r="E9" s="50"/>
      <c r="F9" s="49"/>
    </row>
    <row r="12" spans="2:8" ht="14.65" thickBot="1" x14ac:dyDescent="0.5"/>
    <row r="13" spans="2:8" ht="15.75" thickBot="1" x14ac:dyDescent="0.5">
      <c r="B13" s="48" t="s">
        <v>26</v>
      </c>
      <c r="C13" s="47"/>
      <c r="D13" s="47"/>
      <c r="E13" s="47"/>
      <c r="F13" s="46"/>
    </row>
    <row r="14" spans="2:8" ht="15.4" x14ac:dyDescent="0.45">
      <c r="B14" s="27" t="s">
        <v>19</v>
      </c>
      <c r="C14" s="26" t="s">
        <v>18</v>
      </c>
      <c r="D14" s="45" t="s">
        <v>25</v>
      </c>
      <c r="E14" s="45"/>
      <c r="F14" s="40"/>
    </row>
    <row r="15" spans="2:8" ht="30" customHeight="1" x14ac:dyDescent="0.45">
      <c r="B15" s="27"/>
      <c r="C15" s="26"/>
      <c r="D15" s="42" t="s">
        <v>24</v>
      </c>
      <c r="E15" s="44" t="s">
        <v>23</v>
      </c>
      <c r="F15" s="43"/>
    </row>
    <row r="16" spans="2:8" ht="15.4" x14ac:dyDescent="0.45">
      <c r="B16" s="27"/>
      <c r="C16" s="26"/>
      <c r="D16" s="42"/>
      <c r="E16" s="41" t="s">
        <v>22</v>
      </c>
      <c r="F16" s="40"/>
    </row>
    <row r="17" spans="2:8" ht="15.4" x14ac:dyDescent="0.45">
      <c r="B17" s="27"/>
      <c r="C17" s="26"/>
      <c r="D17" s="26"/>
      <c r="E17" s="39"/>
      <c r="F17" s="38"/>
    </row>
    <row r="18" spans="2:8" ht="15.4" x14ac:dyDescent="0.45">
      <c r="B18" s="27" t="s">
        <v>19</v>
      </c>
      <c r="C18" s="26" t="s">
        <v>18</v>
      </c>
      <c r="D18" s="37">
        <v>13515.44</v>
      </c>
      <c r="E18" s="37"/>
      <c r="F18" s="36"/>
    </row>
    <row r="19" spans="2:8" ht="15.75" thickBot="1" x14ac:dyDescent="0.5">
      <c r="B19" s="27"/>
      <c r="C19" s="26"/>
      <c r="E19" s="35" t="s">
        <v>21</v>
      </c>
      <c r="F19" s="34">
        <v>2.15</v>
      </c>
    </row>
    <row r="20" spans="2:8" ht="15.75" thickBot="1" x14ac:dyDescent="0.5">
      <c r="B20" s="27"/>
      <c r="C20" s="26"/>
      <c r="E20" s="29"/>
      <c r="F20" s="28">
        <v>3.13</v>
      </c>
      <c r="H20" s="33" t="s">
        <v>20</v>
      </c>
    </row>
    <row r="21" spans="2:8" ht="15.75" thickBot="1" x14ac:dyDescent="0.5">
      <c r="B21" s="27" t="s">
        <v>19</v>
      </c>
      <c r="C21" s="26" t="s">
        <v>18</v>
      </c>
      <c r="D21" s="32">
        <f>+D18</f>
        <v>13515.44</v>
      </c>
      <c r="F21" s="31"/>
      <c r="H21" s="30">
        <f>D24</f>
        <v>4231.6713099041526</v>
      </c>
    </row>
    <row r="22" spans="2:8" ht="15.4" x14ac:dyDescent="0.45">
      <c r="B22" s="27"/>
      <c r="C22" s="26"/>
      <c r="D22" s="29">
        <f>1-(F19/F20)</f>
        <v>0.31309904153354629</v>
      </c>
      <c r="F22" s="28"/>
    </row>
    <row r="23" spans="2:8" ht="15.4" x14ac:dyDescent="0.45">
      <c r="B23" s="27"/>
      <c r="C23" s="26"/>
      <c r="D23" s="26"/>
      <c r="E23" s="26"/>
      <c r="F23" s="25"/>
    </row>
    <row r="24" spans="2:8" ht="15.75" thickBot="1" x14ac:dyDescent="0.5">
      <c r="B24" s="24" t="s">
        <v>19</v>
      </c>
      <c r="C24" s="23" t="s">
        <v>18</v>
      </c>
      <c r="D24" s="22">
        <f>+D21*D22</f>
        <v>4231.6713099041526</v>
      </c>
      <c r="E24" s="22"/>
      <c r="F24" s="21"/>
    </row>
  </sheetData>
  <mergeCells count="10">
    <mergeCell ref="E17:F17"/>
    <mergeCell ref="D18:F18"/>
    <mergeCell ref="B2:F2"/>
    <mergeCell ref="D3:F3"/>
    <mergeCell ref="D9:F9"/>
    <mergeCell ref="B13:F13"/>
    <mergeCell ref="D14:F14"/>
    <mergeCell ref="D15:D16"/>
    <mergeCell ref="E15:F15"/>
    <mergeCell ref="E16:F1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00A0A-F40E-4B54-9E80-0014CEDD473F}">
  <dimension ref="A1:I9"/>
  <sheetViews>
    <sheetView tabSelected="1" zoomScale="90" zoomScaleNormal="90" workbookViewId="0">
      <selection activeCell="J15" sqref="J15"/>
    </sheetView>
  </sheetViews>
  <sheetFormatPr baseColWidth="10" defaultRowHeight="14.25" x14ac:dyDescent="0.45"/>
  <cols>
    <col min="1" max="1" width="14.796875" customWidth="1"/>
    <col min="2" max="3" width="16" customWidth="1"/>
    <col min="4" max="4" width="13.33203125" customWidth="1"/>
    <col min="5" max="5" width="14.9296875" customWidth="1"/>
  </cols>
  <sheetData>
    <row r="1" spans="1:9" ht="14.65" thickBot="1" x14ac:dyDescent="0.5"/>
    <row r="2" spans="1:9" x14ac:dyDescent="0.45">
      <c r="A2" s="58" t="s">
        <v>30</v>
      </c>
      <c r="B2" s="59" t="s">
        <v>31</v>
      </c>
      <c r="C2" s="59" t="s">
        <v>32</v>
      </c>
      <c r="D2" s="59" t="s">
        <v>33</v>
      </c>
      <c r="E2" s="60" t="s">
        <v>34</v>
      </c>
    </row>
    <row r="3" spans="1:9" ht="14.65" thickBot="1" x14ac:dyDescent="0.5">
      <c r="A3" s="61"/>
      <c r="B3" s="62"/>
      <c r="C3" s="62"/>
      <c r="D3" s="62"/>
      <c r="E3" s="63"/>
    </row>
    <row r="4" spans="1:9" ht="15.4" x14ac:dyDescent="0.45">
      <c r="A4" s="64">
        <v>0</v>
      </c>
      <c r="B4" s="65">
        <v>0</v>
      </c>
      <c r="C4" s="65">
        <v>0</v>
      </c>
      <c r="D4" s="66">
        <f>PE!D18</f>
        <v>13515.44</v>
      </c>
      <c r="E4" s="67">
        <f>SUM(C4:D4)</f>
        <v>13515.44</v>
      </c>
    </row>
    <row r="5" spans="1:9" ht="15.4" x14ac:dyDescent="0.45">
      <c r="A5" s="68">
        <f>PE!H21</f>
        <v>4231.6713099041526</v>
      </c>
      <c r="B5" s="66">
        <f>FLC!D4</f>
        <v>141605.43</v>
      </c>
      <c r="C5" s="66">
        <f>FLC!D5</f>
        <v>80000</v>
      </c>
      <c r="D5" s="66">
        <f>D4</f>
        <v>13515.44</v>
      </c>
      <c r="E5" s="67">
        <f t="shared" ref="E5:E6" si="0">SUM(C5:D5)</f>
        <v>93515.44</v>
      </c>
    </row>
    <row r="6" spans="1:9" ht="15.75" thickBot="1" x14ac:dyDescent="0.5">
      <c r="A6" s="69">
        <f>A5*1.2</f>
        <v>5078.0055718849826</v>
      </c>
      <c r="B6" s="66">
        <f>B5*1.2</f>
        <v>169926.51599999997</v>
      </c>
      <c r="C6" s="66">
        <f>C5*1.2</f>
        <v>96000</v>
      </c>
      <c r="D6" s="66">
        <f>D4</f>
        <v>13515.44</v>
      </c>
      <c r="E6" s="67">
        <f t="shared" si="0"/>
        <v>109515.44</v>
      </c>
      <c r="I6" s="70"/>
    </row>
    <row r="7" spans="1:9" x14ac:dyDescent="0.45">
      <c r="I7" s="70"/>
    </row>
    <row r="9" spans="1:9" ht="15.4" x14ac:dyDescent="0.45">
      <c r="C9" s="71" t="s">
        <v>35</v>
      </c>
      <c r="D9" s="72"/>
      <c r="E9" s="72"/>
    </row>
  </sheetData>
  <mergeCells count="6">
    <mergeCell ref="A2:A3"/>
    <mergeCell ref="B2:B3"/>
    <mergeCell ref="C2:C3"/>
    <mergeCell ref="D2:D3"/>
    <mergeCell ref="E2:E3"/>
    <mergeCell ref="C9:E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21A96-440A-4EC6-A6F1-7C878AF1EF77}">
  <dimension ref="A1"/>
  <sheetViews>
    <sheetView workbookViewId="0"/>
  </sheetViews>
  <sheetFormatPr baseColWidth="10"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TMAR</vt:lpstr>
      <vt:lpstr>FLC</vt:lpstr>
      <vt:lpstr>BC</vt:lpstr>
      <vt:lpstr>PE</vt:lpstr>
      <vt:lpstr>PE1</vt:lpstr>
      <vt:lpstr>Hoja5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Carlos</cp:lastModifiedBy>
  <dcterms:created xsi:type="dcterms:W3CDTF">2024-06-27T14:55:42Z</dcterms:created>
  <dcterms:modified xsi:type="dcterms:W3CDTF">2024-06-27T16:34:48Z</dcterms:modified>
</cp:coreProperties>
</file>