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mc:AlternateContent xmlns:mc="http://schemas.openxmlformats.org/markup-compatibility/2006">
    <mc:Choice Requires="x15">
      <x15ac:absPath xmlns:x15ac="http://schemas.microsoft.com/office/spreadsheetml/2010/11/ac" url="C:\Users\Carlos\Desktop\2024-1S-ABRIL\AGRO2024-1S\SEXTO\"/>
    </mc:Choice>
  </mc:AlternateContent>
  <xr:revisionPtr revIDLastSave="0" documentId="13_ncr:1_{F0C9D59D-481F-4444-868A-E23D5477F80E}" xr6:coauthVersionLast="47" xr6:coauthVersionMax="47" xr10:uidLastSave="{00000000-0000-0000-0000-000000000000}"/>
  <bookViews>
    <workbookView xWindow="-98" yWindow="-98" windowWidth="19396" windowHeight="11475" firstSheet="28" activeTab="36" xr2:uid="{00000000-000D-0000-FFFF-FFFF00000000}"/>
  </bookViews>
  <sheets>
    <sheet name="ACTIVOS" sheetId="1" r:id="rId1"/>
    <sheet name="DEPRECIACIONES " sheetId="2" r:id="rId2"/>
    <sheet name="REAPRECIACIÓN ACTIVOS" sheetId="3" r:id="rId3"/>
    <sheet name="GASTOS" sheetId="4" r:id="rId4"/>
    <sheet name="AMORTIZACIONES" sheetId="5" r:id="rId5"/>
    <sheet name="COSTOS" sheetId="15" r:id="rId6"/>
    <sheet name="GASTOS ADMIN" sheetId="54" r:id="rId7"/>
    <sheet name="GASTO OPERACIONAL ANUAL" sheetId="10" r:id="rId8"/>
    <sheet name="GASTO NO OPERACIONAL " sheetId="11" r:id="rId9"/>
    <sheet name="CAPITAL DE TRABAJO " sheetId="12" r:id="rId10"/>
    <sheet name="INVERSIONES" sheetId="13" r:id="rId11"/>
    <sheet name="DEPRECIACIÓN-ACTIVOS" sheetId="14" r:id="rId12"/>
    <sheet name="CUADRO DE INGRESOS AÑO 1" sheetId="44" r:id="rId13"/>
    <sheet name="CUADRO DE INGRESOS AÑO 2" sheetId="46" r:id="rId14"/>
    <sheet name="CUADRO DE INGRESOS AÑO 3" sheetId="48" r:id="rId15"/>
    <sheet name="CUADRO DE INGRESOS AÑO 4" sheetId="47" r:id="rId16"/>
    <sheet name="CUADRO DE INGRESOS AÑO 5" sheetId="45" r:id="rId17"/>
    <sheet name="TOTAL INGRESOS" sheetId="49" r:id="rId18"/>
    <sheet name="ESPECIFICACIÓN DE COSTOS" sheetId="16" r:id="rId19"/>
    <sheet name="GASTOS ADM-VEN-NO OPER" sheetId="38" r:id="rId20"/>
    <sheet name="GASTOS OPER-NO OPER" sheetId="18" r:id="rId21"/>
    <sheet name="COSTOS DE PRODUCCIÓN" sheetId="51" r:id="rId22"/>
    <sheet name="EGRESO FIJO " sheetId="20" r:id="rId23"/>
    <sheet name="FUENTES Y USO FONDOS EN DÓLARES" sheetId="21" r:id="rId24"/>
    <sheet name="ESTRUCTURA FINANCIERA" sheetId="22" r:id="rId25"/>
    <sheet name="CUOTA FIJA " sheetId="23" r:id="rId26"/>
    <sheet name="ESTADO DE SITUACIÓN INICIAL" sheetId="24" r:id="rId27"/>
    <sheet name="GASTOS FINANCIEROS " sheetId="25" r:id="rId28"/>
    <sheet name="ESTADO DE RESULTADOS" sheetId="26" r:id="rId29"/>
    <sheet name="TMAR" sheetId="56" r:id="rId30"/>
    <sheet name="VAN" sheetId="57" r:id="rId31"/>
    <sheet name="TIR" sheetId="59" r:id="rId32"/>
    <sheet name="PONDERACIÓN" sheetId="60" r:id="rId33"/>
    <sheet name="PE" sheetId="61" r:id="rId34"/>
    <sheet name="PE1" sheetId="62" r:id="rId35"/>
    <sheet name="PRI" sheetId="63" r:id="rId36"/>
    <sheet name="costobenef" sheetId="64" r:id="rId37"/>
  </sheets>
  <definedNames>
    <definedName name="_xlnm.Print_Area" localSheetId="0">ACTIVOS!$A$1:$H$45</definedName>
    <definedName name="_xlnm.Print_Area" localSheetId="1">'DEPRECIACIONES '!$A$1:$L$17</definedName>
    <definedName name="_xlnm.Print_Area" localSheetId="19">'GASTOS ADM-VEN-NO OPER'!$A$1:$G$36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1" i="59" l="1"/>
  <c r="B9" i="49" l="1"/>
  <c r="B8" i="49"/>
  <c r="B7" i="49"/>
  <c r="F6" i="45"/>
  <c r="F7" i="45" s="1"/>
  <c r="F6" i="47"/>
  <c r="F7" i="47" s="1"/>
  <c r="F6" i="48"/>
  <c r="F7" i="48" s="1"/>
  <c r="C45" i="15"/>
  <c r="F20" i="15"/>
  <c r="F4" i="64" l="1"/>
  <c r="D9" i="64"/>
  <c r="D8" i="64"/>
  <c r="D7" i="64"/>
  <c r="D6" i="64"/>
  <c r="D5" i="64"/>
  <c r="D4" i="64"/>
  <c r="E4" i="64" s="1"/>
  <c r="B35" i="63"/>
  <c r="B36" i="63" s="1"/>
  <c r="B30" i="63"/>
  <c r="B31" i="63" s="1"/>
  <c r="E7" i="57"/>
  <c r="F7" i="57" s="1"/>
  <c r="G7" i="57" s="1"/>
  <c r="H7" i="57" s="1"/>
  <c r="D22" i="61"/>
  <c r="F5" i="60"/>
  <c r="F6" i="60"/>
  <c r="F7" i="60"/>
  <c r="F8" i="60"/>
  <c r="F9" i="60"/>
  <c r="F10" i="60"/>
  <c r="F11" i="60"/>
  <c r="F12" i="60"/>
  <c r="F13" i="60"/>
  <c r="F14" i="60"/>
  <c r="F15" i="60"/>
  <c r="F16" i="60"/>
  <c r="F17" i="60"/>
  <c r="F18" i="60"/>
  <c r="F4" i="60"/>
  <c r="D19" i="60"/>
  <c r="E5" i="60" s="1"/>
  <c r="D5" i="56"/>
  <c r="C4" i="56"/>
  <c r="D4" i="56" s="1"/>
  <c r="D6" i="56" s="1"/>
  <c r="D3" i="59" l="1"/>
  <c r="C3" i="57"/>
  <c r="G5" i="60"/>
  <c r="E18" i="60"/>
  <c r="E16" i="60"/>
  <c r="E14" i="60"/>
  <c r="E12" i="60"/>
  <c r="E10" i="60"/>
  <c r="E8" i="60"/>
  <c r="G8" i="60" s="1"/>
  <c r="E6" i="60"/>
  <c r="G16" i="60"/>
  <c r="G12" i="60"/>
  <c r="E4" i="60"/>
  <c r="E17" i="60"/>
  <c r="E15" i="60"/>
  <c r="E13" i="60"/>
  <c r="E11" i="60"/>
  <c r="E9" i="60"/>
  <c r="E7" i="60"/>
  <c r="B23" i="24"/>
  <c r="B24" i="24"/>
  <c r="B25" i="24"/>
  <c r="B26" i="24"/>
  <c r="B22" i="24"/>
  <c r="B13" i="24"/>
  <c r="B12" i="24"/>
  <c r="A13" i="24"/>
  <c r="A12" i="24"/>
  <c r="B16" i="38"/>
  <c r="C16" i="38" s="1"/>
  <c r="D16" i="38" s="1"/>
  <c r="E16" i="38" s="1"/>
  <c r="F16" i="38" s="1"/>
  <c r="A7" i="38"/>
  <c r="A8" i="38"/>
  <c r="A9" i="38"/>
  <c r="A10" i="38"/>
  <c r="A11" i="38"/>
  <c r="A12" i="38"/>
  <c r="A13" i="38"/>
  <c r="A6" i="38"/>
  <c r="G7" i="60" l="1"/>
  <c r="G11" i="60"/>
  <c r="G15" i="60"/>
  <c r="G4" i="60"/>
  <c r="E19" i="60"/>
  <c r="G9" i="60"/>
  <c r="G13" i="60"/>
  <c r="G17" i="60"/>
  <c r="G6" i="60"/>
  <c r="G10" i="60"/>
  <c r="G14" i="60"/>
  <c r="G18" i="60"/>
  <c r="G19" i="60" l="1"/>
  <c r="F6" i="26" l="1"/>
  <c r="F7" i="26" s="1"/>
  <c r="B9" i="64"/>
  <c r="D6" i="26"/>
  <c r="D7" i="26" s="1"/>
  <c r="B7" i="64"/>
  <c r="E6" i="26" l="1"/>
  <c r="E7" i="26" s="1"/>
  <c r="B8" i="64"/>
  <c r="F6" i="46"/>
  <c r="B12" i="14"/>
  <c r="A12" i="14"/>
  <c r="B8" i="14"/>
  <c r="B9" i="14"/>
  <c r="B10" i="14"/>
  <c r="B11" i="14"/>
  <c r="B6" i="14"/>
  <c r="A8" i="14"/>
  <c r="A9" i="14"/>
  <c r="A10" i="14"/>
  <c r="A11" i="14"/>
  <c r="A7" i="14"/>
  <c r="C5" i="11"/>
  <c r="B30" i="38" s="1"/>
  <c r="B6" i="11"/>
  <c r="C21" i="54"/>
  <c r="B22" i="38" s="1"/>
  <c r="C22" i="38" s="1"/>
  <c r="D22" i="38" s="1"/>
  <c r="E22" i="38" s="1"/>
  <c r="F22" i="38" s="1"/>
  <c r="C20" i="54"/>
  <c r="B21" i="38" s="1"/>
  <c r="C21" i="38" s="1"/>
  <c r="D21" i="38" s="1"/>
  <c r="E21" i="38" s="1"/>
  <c r="F21" i="38" s="1"/>
  <c r="B15" i="54"/>
  <c r="C3" i="54"/>
  <c r="B4" i="38" s="1"/>
  <c r="C4" i="38" s="1"/>
  <c r="D4" i="38" s="1"/>
  <c r="E4" i="38" s="1"/>
  <c r="F4" i="38" s="1"/>
  <c r="D20" i="15"/>
  <c r="B5" i="54" s="1"/>
  <c r="C19" i="54"/>
  <c r="B20" i="38" s="1"/>
  <c r="C20" i="38" s="1"/>
  <c r="D20" i="38" s="1"/>
  <c r="E20" i="38" s="1"/>
  <c r="F20" i="38" s="1"/>
  <c r="E12" i="15"/>
  <c r="E11" i="15"/>
  <c r="E13" i="15"/>
  <c r="E14" i="15"/>
  <c r="E15" i="15"/>
  <c r="C54" i="15"/>
  <c r="C52" i="15"/>
  <c r="C51" i="15"/>
  <c r="C47" i="15"/>
  <c r="C46" i="15"/>
  <c r="D30" i="15"/>
  <c r="E30" i="15" s="1"/>
  <c r="D34" i="15"/>
  <c r="E34" i="15" s="1"/>
  <c r="D21" i="15"/>
  <c r="B7" i="54" s="1"/>
  <c r="B8" i="38" s="1"/>
  <c r="C8" i="38" s="1"/>
  <c r="D8" i="38" s="1"/>
  <c r="E8" i="38" s="1"/>
  <c r="F8" i="38" s="1"/>
  <c r="D22" i="15"/>
  <c r="D23" i="15"/>
  <c r="G23" i="15" s="1"/>
  <c r="D24" i="15"/>
  <c r="B8" i="54" s="1"/>
  <c r="B9" i="38" s="1"/>
  <c r="C9" i="38" s="1"/>
  <c r="D9" i="38" s="1"/>
  <c r="E9" i="38" s="1"/>
  <c r="F9" i="38" s="1"/>
  <c r="D25" i="15"/>
  <c r="G25" i="15" s="1"/>
  <c r="D26" i="15"/>
  <c r="D27" i="15"/>
  <c r="G27" i="15" s="1"/>
  <c r="D28" i="15"/>
  <c r="D29" i="15"/>
  <c r="G29" i="15" s="1"/>
  <c r="D31" i="15"/>
  <c r="B10" i="54" s="1"/>
  <c r="B11" i="38" s="1"/>
  <c r="C11" i="38" s="1"/>
  <c r="D11" i="38" s="1"/>
  <c r="E11" i="38" s="1"/>
  <c r="F11" i="38" s="1"/>
  <c r="D32" i="15"/>
  <c r="G32" i="15" s="1"/>
  <c r="D33" i="15"/>
  <c r="G33" i="15" s="1"/>
  <c r="D35" i="15"/>
  <c r="B12" i="54" s="1"/>
  <c r="B13" i="38" s="1"/>
  <c r="C13" i="38" s="1"/>
  <c r="D13" i="38" s="1"/>
  <c r="E13" i="38" s="1"/>
  <c r="F13" i="38" s="1"/>
  <c r="B36" i="15"/>
  <c r="C36" i="15"/>
  <c r="F24" i="15"/>
  <c r="F26" i="15"/>
  <c r="C16" i="15"/>
  <c r="A8" i="5"/>
  <c r="A23" i="24" s="1"/>
  <c r="B8" i="5"/>
  <c r="A9" i="5"/>
  <c r="A24" i="24" s="1"/>
  <c r="B9" i="5"/>
  <c r="A10" i="5"/>
  <c r="A25" i="24" s="1"/>
  <c r="B10" i="5"/>
  <c r="A11" i="5"/>
  <c r="A26" i="24" s="1"/>
  <c r="B11" i="5"/>
  <c r="B7" i="5"/>
  <c r="A7" i="5"/>
  <c r="A22" i="24" s="1"/>
  <c r="C30" i="38" l="1"/>
  <c r="B10" i="18"/>
  <c r="B12" i="20" s="1"/>
  <c r="B6" i="25" s="1"/>
  <c r="G22" i="15"/>
  <c r="B6" i="54"/>
  <c r="C43" i="15"/>
  <c r="B7" i="38"/>
  <c r="C7" i="38" s="1"/>
  <c r="D7" i="38" s="1"/>
  <c r="E7" i="38" s="1"/>
  <c r="F7" i="38" s="1"/>
  <c r="B9" i="54"/>
  <c r="B10" i="38" s="1"/>
  <c r="C10" i="38" s="1"/>
  <c r="D10" i="38" s="1"/>
  <c r="E10" i="38" s="1"/>
  <c r="F10" i="38" s="1"/>
  <c r="B11" i="54"/>
  <c r="B12" i="38" s="1"/>
  <c r="C12" i="38" s="1"/>
  <c r="D12" i="38" s="1"/>
  <c r="E12" i="38" s="1"/>
  <c r="F12" i="38" s="1"/>
  <c r="F7" i="46"/>
  <c r="B6" i="49" s="1"/>
  <c r="G30" i="15"/>
  <c r="B64" i="15"/>
  <c r="C64" i="15" s="1"/>
  <c r="D64" i="15" s="1"/>
  <c r="D36" i="15"/>
  <c r="G34" i="15"/>
  <c r="E20" i="15"/>
  <c r="E33" i="15"/>
  <c r="E31" i="15"/>
  <c r="E28" i="15"/>
  <c r="E26" i="15"/>
  <c r="E24" i="15"/>
  <c r="E21" i="15"/>
  <c r="G20" i="15"/>
  <c r="G31" i="15"/>
  <c r="G28" i="15"/>
  <c r="G26" i="15"/>
  <c r="G24" i="15"/>
  <c r="G21" i="15"/>
  <c r="E35" i="15"/>
  <c r="E32" i="15"/>
  <c r="E29" i="15"/>
  <c r="E27" i="15"/>
  <c r="E25" i="15"/>
  <c r="H25" i="15" s="1"/>
  <c r="E23" i="15"/>
  <c r="H23" i="15" s="1"/>
  <c r="E22" i="15"/>
  <c r="G35" i="15"/>
  <c r="D30" i="38" l="1"/>
  <c r="C10" i="18"/>
  <c r="C12" i="20" s="1"/>
  <c r="C6" i="25" s="1"/>
  <c r="C6" i="26"/>
  <c r="B6" i="64"/>
  <c r="B6" i="38"/>
  <c r="C4" i="54"/>
  <c r="B14" i="54"/>
  <c r="H20" i="15"/>
  <c r="H24" i="15"/>
  <c r="H28" i="15"/>
  <c r="H26" i="15"/>
  <c r="D10" i="18" l="1"/>
  <c r="D12" i="20" s="1"/>
  <c r="D6" i="25" s="1"/>
  <c r="E30" i="38"/>
  <c r="B6" i="62"/>
  <c r="C7" i="26"/>
  <c r="C6" i="38"/>
  <c r="B17" i="38"/>
  <c r="B15" i="38"/>
  <c r="B16" i="54"/>
  <c r="C13" i="54"/>
  <c r="C22" i="54" s="1"/>
  <c r="C6" i="10" s="1"/>
  <c r="C7" i="10" s="1"/>
  <c r="D7" i="2"/>
  <c r="D8" i="2"/>
  <c r="A7" i="2"/>
  <c r="A6" i="14" s="1"/>
  <c r="E7" i="1"/>
  <c r="E6" i="1"/>
  <c r="E25" i="1"/>
  <c r="E30" i="1"/>
  <c r="E40" i="1"/>
  <c r="E41" i="1"/>
  <c r="E15" i="1"/>
  <c r="F30" i="38" l="1"/>
  <c r="F10" i="18" s="1"/>
  <c r="F12" i="20" s="1"/>
  <c r="F6" i="25" s="1"/>
  <c r="E10" i="18"/>
  <c r="E12" i="20" s="1"/>
  <c r="E6" i="25" s="1"/>
  <c r="B23" i="38"/>
  <c r="B6" i="18" s="1"/>
  <c r="B8" i="20" s="1"/>
  <c r="C17" i="38"/>
  <c r="D6" i="38"/>
  <c r="C15" i="38"/>
  <c r="E8" i="1"/>
  <c r="B7" i="2" s="1"/>
  <c r="C6" i="14" s="1"/>
  <c r="E7" i="2"/>
  <c r="E10" i="15"/>
  <c r="G7" i="2"/>
  <c r="B5" i="3" l="1"/>
  <c r="E6" i="38"/>
  <c r="D15" i="38"/>
  <c r="D17" i="38"/>
  <c r="C18" i="38"/>
  <c r="C19" i="38"/>
  <c r="F7" i="2"/>
  <c r="J7" i="2"/>
  <c r="C23" i="38" l="1"/>
  <c r="C6" i="18" s="1"/>
  <c r="C8" i="20" s="1"/>
  <c r="D18" i="38"/>
  <c r="D19" i="38"/>
  <c r="E17" i="38"/>
  <c r="E15" i="38"/>
  <c r="F6" i="38"/>
  <c r="E9" i="15"/>
  <c r="D16" i="15"/>
  <c r="B63" i="15" l="1"/>
  <c r="C63" i="15" s="1"/>
  <c r="D63" i="15" s="1"/>
  <c r="E16" i="15"/>
  <c r="D23" i="38"/>
  <c r="D6" i="18" s="1"/>
  <c r="D8" i="20" s="1"/>
  <c r="E18" i="38"/>
  <c r="E19" i="38"/>
  <c r="F15" i="38"/>
  <c r="F17" i="38"/>
  <c r="E23" i="38" l="1"/>
  <c r="E6" i="18" s="1"/>
  <c r="E8" i="20" s="1"/>
  <c r="F18" i="38"/>
  <c r="F19" i="38"/>
  <c r="E26" i="1"/>
  <c r="E24" i="1"/>
  <c r="E11" i="1"/>
  <c r="F23" i="38" l="1"/>
  <c r="F6" i="18" s="1"/>
  <c r="F8" i="20" s="1"/>
  <c r="E38" i="1"/>
  <c r="E37" i="1"/>
  <c r="F6" i="44"/>
  <c r="H13" i="14"/>
  <c r="D13" i="14"/>
  <c r="E13" i="14"/>
  <c r="G13" i="14"/>
  <c r="F7" i="44" l="1"/>
  <c r="B5" i="49" s="1"/>
  <c r="C53" i="15"/>
  <c r="B6" i="26" l="1"/>
  <c r="B5" i="64"/>
  <c r="B10" i="49"/>
  <c r="F33" i="15"/>
  <c r="H33" i="15" s="1"/>
  <c r="F21" i="15"/>
  <c r="H21" i="15" s="1"/>
  <c r="F22" i="15"/>
  <c r="H22" i="15" s="1"/>
  <c r="F27" i="15"/>
  <c r="H27" i="15" s="1"/>
  <c r="F29" i="15"/>
  <c r="H29" i="15" s="1"/>
  <c r="F31" i="15"/>
  <c r="H31" i="15" s="1"/>
  <c r="F32" i="15"/>
  <c r="H32" i="15" s="1"/>
  <c r="F35" i="15"/>
  <c r="H35" i="15" s="1"/>
  <c r="B5" i="62" l="1"/>
  <c r="B7" i="26"/>
  <c r="XFD7" i="26" s="1"/>
  <c r="D10" i="2"/>
  <c r="D11" i="2"/>
  <c r="D12" i="2"/>
  <c r="D13" i="2"/>
  <c r="D14" i="2"/>
  <c r="D15" i="2"/>
  <c r="D9" i="2"/>
  <c r="E35" i="1"/>
  <c r="E36" i="1"/>
  <c r="E39" i="1"/>
  <c r="E34" i="1"/>
  <c r="E42" i="1" l="1"/>
  <c r="B19" i="24"/>
  <c r="B15" i="2" l="1"/>
  <c r="C12" i="14" s="1"/>
  <c r="E29" i="1"/>
  <c r="E31" i="1"/>
  <c r="I15" i="2" l="1"/>
  <c r="F15" i="2"/>
  <c r="H15" i="2"/>
  <c r="G15" i="2"/>
  <c r="E15" i="2"/>
  <c r="E32" i="1"/>
  <c r="B13" i="2" l="1"/>
  <c r="B18" i="24"/>
  <c r="G13" i="2"/>
  <c r="J15" i="2"/>
  <c r="E13" i="2" l="1"/>
  <c r="C11" i="14"/>
  <c r="B13" i="3"/>
  <c r="F13" i="2"/>
  <c r="J13" i="2" s="1"/>
  <c r="G13" i="3" l="1"/>
  <c r="D14" i="3"/>
  <c r="G14" i="3" l="1"/>
  <c r="D15" i="3" s="1"/>
  <c r="G15" i="3" s="1"/>
  <c r="D16" i="3" s="1"/>
  <c r="G16" i="3" s="1"/>
  <c r="B14" i="2" s="1"/>
  <c r="F11" i="14" s="1"/>
  <c r="C21" i="24"/>
  <c r="B7" i="14" l="1"/>
  <c r="H11" i="5"/>
  <c r="F10" i="5"/>
  <c r="H9" i="5"/>
  <c r="F8" i="5"/>
  <c r="I7" i="5"/>
  <c r="C10" i="4"/>
  <c r="E23" i="1"/>
  <c r="E27" i="1" s="1"/>
  <c r="E20" i="1"/>
  <c r="E19" i="1"/>
  <c r="E18" i="1"/>
  <c r="E14" i="1"/>
  <c r="E16" i="1" s="1"/>
  <c r="B15" i="24" s="1"/>
  <c r="E10" i="1"/>
  <c r="E12" i="1" l="1"/>
  <c r="F11" i="5"/>
  <c r="E9" i="5"/>
  <c r="I11" i="5"/>
  <c r="E21" i="1"/>
  <c r="B16" i="24" s="1"/>
  <c r="F9" i="5"/>
  <c r="I9" i="5"/>
  <c r="G10" i="5"/>
  <c r="G8" i="5"/>
  <c r="E11" i="5"/>
  <c r="H8" i="5"/>
  <c r="E8" i="5"/>
  <c r="I8" i="5"/>
  <c r="G9" i="5"/>
  <c r="E10" i="5"/>
  <c r="I10" i="5"/>
  <c r="G11" i="5"/>
  <c r="H10" i="5"/>
  <c r="F7" i="5"/>
  <c r="G7" i="5"/>
  <c r="H7" i="5"/>
  <c r="B12" i="5"/>
  <c r="E7" i="5"/>
  <c r="E36" i="15"/>
  <c r="F36" i="15"/>
  <c r="G36" i="15"/>
  <c r="B8" i="21" l="1"/>
  <c r="B5" i="13"/>
  <c r="B14" i="24"/>
  <c r="B9" i="2"/>
  <c r="D43" i="1"/>
  <c r="H36" i="15"/>
  <c r="B37" i="15" s="1"/>
  <c r="B11" i="2"/>
  <c r="B10" i="2"/>
  <c r="B12" i="2"/>
  <c r="I12" i="2" s="1"/>
  <c r="B17" i="24"/>
  <c r="E12" i="2"/>
  <c r="F12" i="5"/>
  <c r="I12" i="5"/>
  <c r="E12" i="5"/>
  <c r="D6" i="3"/>
  <c r="H12" i="5"/>
  <c r="G12" i="5"/>
  <c r="E8" i="18" l="1"/>
  <c r="E10" i="20" s="1"/>
  <c r="E11" i="26" s="1"/>
  <c r="B8" i="18"/>
  <c r="B10" i="20" s="1"/>
  <c r="B11" i="26" s="1"/>
  <c r="C8" i="18"/>
  <c r="C10" i="20" s="1"/>
  <c r="C11" i="26" s="1"/>
  <c r="D8" i="18"/>
  <c r="D10" i="20" s="1"/>
  <c r="D11" i="26" s="1"/>
  <c r="F8" i="18"/>
  <c r="F10" i="20" s="1"/>
  <c r="F11" i="26" s="1"/>
  <c r="D8" i="21"/>
  <c r="C8" i="21"/>
  <c r="H12" i="2"/>
  <c r="C10" i="14"/>
  <c r="C11" i="24"/>
  <c r="D10" i="24" s="1"/>
  <c r="H11" i="2"/>
  <c r="C9" i="14"/>
  <c r="H10" i="2"/>
  <c r="C8" i="14"/>
  <c r="I10" i="2"/>
  <c r="E9" i="2"/>
  <c r="C44" i="15" s="1"/>
  <c r="C7" i="14"/>
  <c r="B7" i="21"/>
  <c r="B4" i="13"/>
  <c r="F10" i="2"/>
  <c r="F12" i="2"/>
  <c r="G10" i="2"/>
  <c r="E10" i="2"/>
  <c r="I11" i="2"/>
  <c r="F11" i="2"/>
  <c r="G11" i="2"/>
  <c r="E11" i="2"/>
  <c r="G12" i="2"/>
  <c r="I9" i="2"/>
  <c r="G9" i="2"/>
  <c r="H9" i="2"/>
  <c r="F9" i="2"/>
  <c r="G5" i="3"/>
  <c r="G6" i="3" s="1"/>
  <c r="D7" i="21" l="1"/>
  <c r="C7" i="21"/>
  <c r="J12" i="2"/>
  <c r="C13" i="14"/>
  <c r="D7" i="3"/>
  <c r="G7" i="3" s="1"/>
  <c r="J9" i="2"/>
  <c r="J10" i="2"/>
  <c r="F16" i="2"/>
  <c r="J11" i="2"/>
  <c r="G16" i="2"/>
  <c r="E16" i="2"/>
  <c r="D7" i="18" l="1"/>
  <c r="D9" i="20" s="1"/>
  <c r="C7" i="18"/>
  <c r="C9" i="20" s="1"/>
  <c r="B7" i="18"/>
  <c r="B9" i="20" s="1"/>
  <c r="C58" i="15"/>
  <c r="B65" i="15" s="1"/>
  <c r="D8" i="3"/>
  <c r="G8" i="3" s="1"/>
  <c r="B8" i="2" s="1"/>
  <c r="C10" i="26" l="1"/>
  <c r="B10" i="26"/>
  <c r="D10" i="26"/>
  <c r="D6" i="61"/>
  <c r="F6" i="14"/>
  <c r="H8" i="2"/>
  <c r="I8" i="2"/>
  <c r="J8" i="2" s="1"/>
  <c r="F13" i="14"/>
  <c r="D14" i="26"/>
  <c r="B66" i="15"/>
  <c r="I14" i="2"/>
  <c r="I16" i="2" s="1"/>
  <c r="H14" i="2"/>
  <c r="H16" i="2" s="1"/>
  <c r="C65" i="15" l="1"/>
  <c r="E7" i="18"/>
  <c r="E9" i="20" s="1"/>
  <c r="D18" i="61"/>
  <c r="D21" i="61" s="1"/>
  <c r="D24" i="61" s="1"/>
  <c r="H21" i="61" s="1"/>
  <c r="D6" i="62"/>
  <c r="D4" i="62"/>
  <c r="E4" i="62" s="1"/>
  <c r="D5" i="62"/>
  <c r="F7" i="18"/>
  <c r="F9" i="20" s="1"/>
  <c r="J14" i="2"/>
  <c r="J16" i="2" s="1"/>
  <c r="C66" i="15" l="1"/>
  <c r="D65" i="15"/>
  <c r="D66" i="15" s="1"/>
  <c r="E10" i="26"/>
  <c r="F10" i="26"/>
  <c r="H16" i="60"/>
  <c r="I16" i="60" s="1"/>
  <c r="H12" i="60"/>
  <c r="I12" i="60" s="1"/>
  <c r="H17" i="60"/>
  <c r="I17" i="60" s="1"/>
  <c r="H10" i="60"/>
  <c r="I10" i="60" s="1"/>
  <c r="H14" i="60"/>
  <c r="I14" i="60" s="1"/>
  <c r="H8" i="60"/>
  <c r="I8" i="60" s="1"/>
  <c r="H11" i="60"/>
  <c r="I11" i="60" s="1"/>
  <c r="H18" i="60"/>
  <c r="I18" i="60" s="1"/>
  <c r="H7" i="60"/>
  <c r="I7" i="60" s="1"/>
  <c r="H6" i="60"/>
  <c r="I6" i="60" s="1"/>
  <c r="H9" i="60"/>
  <c r="I9" i="60" s="1"/>
  <c r="H15" i="60"/>
  <c r="I15" i="60" s="1"/>
  <c r="H13" i="60"/>
  <c r="I13" i="60" s="1"/>
  <c r="H4" i="60" l="1"/>
  <c r="I4" i="60" s="1"/>
  <c r="F8" i="51"/>
  <c r="H5" i="60"/>
  <c r="I5" i="60" s="1"/>
  <c r="F9" i="51" l="1"/>
  <c r="I19" i="60"/>
  <c r="D7" i="61" s="1"/>
  <c r="D9" i="61" s="1"/>
  <c r="H6" i="61" s="1"/>
  <c r="A5" i="62" s="1"/>
  <c r="A6" i="62" s="1"/>
  <c r="F15" i="51"/>
  <c r="F16" i="51" l="1"/>
  <c r="B8" i="11"/>
  <c r="C7" i="11" s="1"/>
  <c r="B6" i="12"/>
  <c r="C6" i="12" s="1"/>
  <c r="F22" i="51"/>
  <c r="C5" i="62"/>
  <c r="E5" i="62" s="1"/>
  <c r="F23" i="51" l="1"/>
  <c r="F29" i="51"/>
  <c r="F30" i="51" s="1"/>
  <c r="F36" i="51"/>
  <c r="F37" i="51" s="1"/>
  <c r="C6" i="62"/>
  <c r="E6" i="62" s="1"/>
  <c r="B32" i="38"/>
  <c r="C9" i="11"/>
  <c r="B9" i="26"/>
  <c r="B7" i="12" l="1"/>
  <c r="C7" i="12" s="1"/>
  <c r="C8" i="12" s="1"/>
  <c r="C9" i="12" s="1"/>
  <c r="B11" i="18"/>
  <c r="C32" i="38"/>
  <c r="B8" i="26"/>
  <c r="B12" i="26" s="1"/>
  <c r="B8" i="12"/>
  <c r="B33" i="38"/>
  <c r="B17" i="26" s="1"/>
  <c r="C9" i="26"/>
  <c r="C8" i="26" s="1"/>
  <c r="C12" i="26" s="1"/>
  <c r="B6" i="13" l="1"/>
  <c r="B9" i="21"/>
  <c r="B13" i="20"/>
  <c r="B12" i="18"/>
  <c r="B7" i="13"/>
  <c r="C7" i="57" s="1"/>
  <c r="D7" i="59" s="1"/>
  <c r="D32" i="38"/>
  <c r="C11" i="18"/>
  <c r="C33" i="38"/>
  <c r="C17" i="26" s="1"/>
  <c r="D9" i="26"/>
  <c r="D8" i="26" s="1"/>
  <c r="D12" i="26" s="1"/>
  <c r="B14" i="20" l="1"/>
  <c r="C5" i="64" s="1"/>
  <c r="E32" i="38"/>
  <c r="D11" i="18"/>
  <c r="D33" i="38"/>
  <c r="D17" i="26" s="1"/>
  <c r="C8" i="24"/>
  <c r="D7" i="24" s="1"/>
  <c r="D28" i="24" s="1"/>
  <c r="B10" i="21"/>
  <c r="C13" i="20"/>
  <c r="C12" i="18"/>
  <c r="D9" i="21"/>
  <c r="C9" i="21"/>
  <c r="C10" i="21" s="1"/>
  <c r="B7" i="22" s="1"/>
  <c r="E9" i="26"/>
  <c r="E8" i="26" s="1"/>
  <c r="E12" i="26" s="1"/>
  <c r="F9" i="26"/>
  <c r="F5" i="64" l="1"/>
  <c r="E5" i="64"/>
  <c r="C14" i="20"/>
  <c r="C6" i="64" s="1"/>
  <c r="D10" i="21"/>
  <c r="B8" i="22" s="1"/>
  <c r="B9" i="22" s="1"/>
  <c r="B4" i="63" s="1"/>
  <c r="B19" i="63" s="1"/>
  <c r="D13" i="20"/>
  <c r="D12" i="18"/>
  <c r="F32" i="38"/>
  <c r="E11" i="18"/>
  <c r="E33" i="38"/>
  <c r="E17" i="26" s="1"/>
  <c r="F8" i="26"/>
  <c r="F12" i="26" s="1"/>
  <c r="E6" i="64" l="1"/>
  <c r="F6" i="64"/>
  <c r="D14" i="20"/>
  <c r="C7" i="64" s="1"/>
  <c r="F11" i="18"/>
  <c r="F33" i="38"/>
  <c r="F17" i="26" s="1"/>
  <c r="E13" i="20"/>
  <c r="E12" i="18"/>
  <c r="B7" i="23"/>
  <c r="C8" i="22"/>
  <c r="C7" i="22"/>
  <c r="C8" i="64" l="1"/>
  <c r="F8" i="64" s="1"/>
  <c r="E14" i="20"/>
  <c r="E7" i="64"/>
  <c r="F7" i="64"/>
  <c r="C9" i="22"/>
  <c r="D7" i="23"/>
  <c r="B35" i="24"/>
  <c r="C34" i="24" s="1"/>
  <c r="D31" i="24" s="1"/>
  <c r="D37" i="24" s="1"/>
  <c r="C7" i="23"/>
  <c r="B5" i="25" s="1"/>
  <c r="B7" i="25" s="1"/>
  <c r="B16" i="26" s="1"/>
  <c r="D10" i="23"/>
  <c r="D11" i="23"/>
  <c r="D9" i="23"/>
  <c r="D8" i="23"/>
  <c r="E8" i="64"/>
  <c r="F13" i="20"/>
  <c r="F12" i="18"/>
  <c r="F7" i="59"/>
  <c r="F14" i="20" l="1"/>
  <c r="C9" i="64" s="1"/>
  <c r="B7" i="63"/>
  <c r="A13" i="63" s="1"/>
  <c r="B20" i="63" s="1"/>
  <c r="B15" i="26"/>
  <c r="B18" i="26" s="1"/>
  <c r="B19" i="26" s="1"/>
  <c r="B20" i="26" s="1"/>
  <c r="B21" i="26" s="1"/>
  <c r="B22" i="26" s="1"/>
  <c r="E7" i="23"/>
  <c r="F7" i="23" s="1"/>
  <c r="B8" i="23" s="1"/>
  <c r="C8" i="23" s="1"/>
  <c r="C38" i="24"/>
  <c r="B39" i="24" s="1"/>
  <c r="D40" i="24"/>
  <c r="E9" i="64" l="1"/>
  <c r="E10" i="64" s="1"/>
  <c r="F9" i="64"/>
  <c r="F10" i="64" s="1"/>
  <c r="B16" i="64"/>
  <c r="C5" i="25"/>
  <c r="C7" i="25" s="1"/>
  <c r="C16" i="26" s="1"/>
  <c r="C15" i="26" s="1"/>
  <c r="C18" i="26" s="1"/>
  <c r="C19" i="26" s="1"/>
  <c r="C20" i="26" s="1"/>
  <c r="C21" i="26" s="1"/>
  <c r="C22" i="26" s="1"/>
  <c r="E8" i="23"/>
  <c r="F8" i="23" s="1"/>
  <c r="B9" i="23" s="1"/>
  <c r="C9" i="23" s="1"/>
  <c r="E7" i="59"/>
  <c r="B6" i="63" s="1"/>
  <c r="C6" i="63" s="1"/>
  <c r="B23" i="26"/>
  <c r="B24" i="26" s="1"/>
  <c r="A12" i="63" l="1"/>
  <c r="B22" i="63" s="1"/>
  <c r="C7" i="63"/>
  <c r="D5" i="25"/>
  <c r="D7" i="25" s="1"/>
  <c r="D16" i="26" s="1"/>
  <c r="D15" i="26" s="1"/>
  <c r="D18" i="26" s="1"/>
  <c r="D19" i="26" s="1"/>
  <c r="D20" i="26" s="1"/>
  <c r="D21" i="26" s="1"/>
  <c r="D22" i="26" s="1"/>
  <c r="C23" i="26"/>
  <c r="C24" i="26" s="1"/>
  <c r="E9" i="23"/>
  <c r="F9" i="23" s="1"/>
  <c r="G7" i="59" l="1"/>
  <c r="B8" i="63" s="1"/>
  <c r="C8" i="63" s="1"/>
  <c r="D23" i="26"/>
  <c r="D24" i="26" s="1"/>
  <c r="B10" i="23"/>
  <c r="C10" i="23" l="1"/>
  <c r="E5" i="25" l="1"/>
  <c r="E7" i="25" s="1"/>
  <c r="E16" i="26" s="1"/>
  <c r="E15" i="26" s="1"/>
  <c r="E18" i="26" s="1"/>
  <c r="E19" i="26" s="1"/>
  <c r="E20" i="26" s="1"/>
  <c r="E21" i="26" s="1"/>
  <c r="E22" i="26" s="1"/>
  <c r="E10" i="23"/>
  <c r="F10" i="23" s="1"/>
  <c r="H7" i="59" l="1"/>
  <c r="B9" i="63" s="1"/>
  <c r="C9" i="63" s="1"/>
  <c r="E23" i="26"/>
  <c r="E24" i="26" s="1"/>
  <c r="B11" i="23"/>
  <c r="C11" i="23" l="1"/>
  <c r="D12" i="23"/>
  <c r="F5" i="25" l="1"/>
  <c r="F7" i="25" s="1"/>
  <c r="F16" i="26" s="1"/>
  <c r="F15" i="26" s="1"/>
  <c r="F18" i="26" s="1"/>
  <c r="F19" i="26" s="1"/>
  <c r="F20" i="26" s="1"/>
  <c r="F21" i="26" s="1"/>
  <c r="F22" i="26" s="1"/>
  <c r="F23" i="26" s="1"/>
  <c r="F24" i="26" s="1"/>
  <c r="C10" i="57"/>
  <c r="I7" i="59"/>
  <c r="E11" i="23"/>
  <c r="F11" i="23" s="1"/>
  <c r="C12" i="23"/>
  <c r="B10" i="63" l="1"/>
  <c r="C10" i="63" s="1"/>
  <c r="E1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Stephanie Toledo</author>
  </authors>
  <commentList>
    <comment ref="B6" authorId="0" shapeId="0" xr:uid="{00000000-0006-0000-0A00-000001000000}">
      <text>
        <r>
          <rPr>
            <b/>
            <sz val="9"/>
            <color indexed="81"/>
            <rFont val="Tahoma"/>
            <family val="2"/>
          </rPr>
          <t>Stephanie Toledo:</t>
        </r>
        <r>
          <rPr>
            <sz val="9"/>
            <color indexed="81"/>
            <rFont val="Tahoma"/>
            <family val="2"/>
          </rPr>
          <t xml:space="preserve">
SE CONSIDERA EL CAPITAL DE TRABAJO ANUAL O POR LOS TRES MESES
</t>
        </r>
      </text>
    </comment>
  </commentList>
</comments>
</file>

<file path=xl/sharedStrings.xml><?xml version="1.0" encoding="utf-8"?>
<sst xmlns="http://schemas.openxmlformats.org/spreadsheetml/2006/main" count="849" uniqueCount="589">
  <si>
    <t xml:space="preserve">ACTIVOS FIJOS </t>
  </si>
  <si>
    <t>CANTIDAD</t>
  </si>
  <si>
    <t>COSTO UNITARIO</t>
  </si>
  <si>
    <t xml:space="preserve">COSTO TOTAL </t>
  </si>
  <si>
    <t xml:space="preserve">MUEBLES DE OFICINA </t>
  </si>
  <si>
    <t xml:space="preserve">TOTAL MUEBLES DE OFICINA </t>
  </si>
  <si>
    <t xml:space="preserve">EQUIPO DE OFICINA </t>
  </si>
  <si>
    <t xml:space="preserve">TOTAL EQUIPO DE OFICINA </t>
  </si>
  <si>
    <t xml:space="preserve">EQUIPO DE COMPUTACIÓN </t>
  </si>
  <si>
    <t xml:space="preserve">TOTAL EQUIPO DE COMPUTACIÓN </t>
  </si>
  <si>
    <t xml:space="preserve">TOTAL ACTIVOS FIJOS </t>
  </si>
  <si>
    <t xml:space="preserve">ACTIVOS </t>
  </si>
  <si>
    <t xml:space="preserve">VALOR TOTAL </t>
  </si>
  <si>
    <t>AÑO 1</t>
  </si>
  <si>
    <t>AÑO 2</t>
  </si>
  <si>
    <t>AÑO 3</t>
  </si>
  <si>
    <t>AÑO 4</t>
  </si>
  <si>
    <t>AÑO 5</t>
  </si>
  <si>
    <t xml:space="preserve">VALOR RESIDUAL </t>
  </si>
  <si>
    <t xml:space="preserve">DEPRECIACIÓN POR AÑOS EXPRESADA EN DÓLARES </t>
  </si>
  <si>
    <t xml:space="preserve">MUEBLES Y ENSERES </t>
  </si>
  <si>
    <t>EQUIPO DE OFICINA</t>
  </si>
  <si>
    <t xml:space="preserve">TOTAL DE DEPRECIACIÓN  </t>
  </si>
  <si>
    <t xml:space="preserve">PERÍODO </t>
  </si>
  <si>
    <t xml:space="preserve">VALOR DEL ACTIVO </t>
  </si>
  <si>
    <t xml:space="preserve">CÁLCULO DEL VALOR ADICIONAL </t>
  </si>
  <si>
    <t xml:space="preserve">RESULTADO DEL INCREMENTO </t>
  </si>
  <si>
    <t xml:space="preserve">ANÁLISIS </t>
  </si>
  <si>
    <t xml:space="preserve">CÁCULO VALOR ACTUALIZADO </t>
  </si>
  <si>
    <t xml:space="preserve">VALOR ACTUALIZADO </t>
  </si>
  <si>
    <t xml:space="preserve">AHORA </t>
  </si>
  <si>
    <t xml:space="preserve">RUBRO </t>
  </si>
  <si>
    <t>COSTO TOTAL ($)</t>
  </si>
  <si>
    <t xml:space="preserve">TOTAL </t>
  </si>
  <si>
    <t xml:space="preserve">DESCRIPCIÓN </t>
  </si>
  <si>
    <t>VALOR ($)</t>
  </si>
  <si>
    <t xml:space="preserve">PORCENTAJE DE AMORTIZACIÓN </t>
  </si>
  <si>
    <t xml:space="preserve">AÑOS DE AMORTIZACIÓN </t>
  </si>
  <si>
    <t xml:space="preserve">AMORTIZACIÓN POR AÑO EXPRESADAS EN DÓLARES </t>
  </si>
  <si>
    <t xml:space="preserve">CONCEPTO </t>
  </si>
  <si>
    <t xml:space="preserve">PARCIAL </t>
  </si>
  <si>
    <t xml:space="preserve">PRESUPUESTO ANUAL </t>
  </si>
  <si>
    <t xml:space="preserve">GASTOS DE ADMINISTRACIÓN </t>
  </si>
  <si>
    <t>Servicios básicos administrativos</t>
  </si>
  <si>
    <t xml:space="preserve">TOTAL GASTOS OPERACIONALES AL AÑO </t>
  </si>
  <si>
    <t xml:space="preserve">CÁCULO </t>
  </si>
  <si>
    <t xml:space="preserve">OTROS GASTOS NO OPERACIONALES </t>
  </si>
  <si>
    <t xml:space="preserve">Imprevistos </t>
  </si>
  <si>
    <t xml:space="preserve">GASTOS NO OPERACIONALES </t>
  </si>
  <si>
    <t xml:space="preserve">TOTAL GASTOS NO OPERACIONALES </t>
  </si>
  <si>
    <t>ANUAL</t>
  </si>
  <si>
    <t xml:space="preserve">MENSUAL </t>
  </si>
  <si>
    <t xml:space="preserve">EGRESO </t>
  </si>
  <si>
    <t xml:space="preserve">ANÁLISIS DE CÁCULOS </t>
  </si>
  <si>
    <t xml:space="preserve">RESUMEN DE CAPITAL DE TRABAJO </t>
  </si>
  <si>
    <t>REFERENCIA</t>
  </si>
  <si>
    <t xml:space="preserve">RESUMEN DE INVERSIONES </t>
  </si>
  <si>
    <t xml:space="preserve">Inversión de activos fijos </t>
  </si>
  <si>
    <t xml:space="preserve">INVERSIÓN TOTAL </t>
  </si>
  <si>
    <t xml:space="preserve">AÑOS </t>
  </si>
  <si>
    <t xml:space="preserve">CARACTERÍSTICAS </t>
  </si>
  <si>
    <t xml:space="preserve">Gastos de constitución </t>
  </si>
  <si>
    <t xml:space="preserve">Patentes y marcas </t>
  </si>
  <si>
    <t>TOTAL MUEBLES ENSERES</t>
  </si>
  <si>
    <t xml:space="preserve">Suministros de oficina </t>
  </si>
  <si>
    <t xml:space="preserve">Sueldos y salarios personal administrativos </t>
  </si>
  <si>
    <t xml:space="preserve">Mantenimiento del Vehículo </t>
  </si>
  <si>
    <t>Otros gastos No Operacionales</t>
  </si>
  <si>
    <t>Gastos Financieros</t>
  </si>
  <si>
    <t>Gastos No Operacionales</t>
  </si>
  <si>
    <t>Suministros de Limpieza</t>
  </si>
  <si>
    <t>Viáticos</t>
  </si>
  <si>
    <t>Publicidad y promociones</t>
  </si>
  <si>
    <t>Beneficios de ley personal de ventas</t>
  </si>
  <si>
    <t>Sueldos y Salarios personal de ventas</t>
  </si>
  <si>
    <t>Gasto de Venta</t>
  </si>
  <si>
    <t>Suministros de Oficina</t>
  </si>
  <si>
    <t>Beneficios de ley personal administrativo</t>
  </si>
  <si>
    <t>Sueldos y Salarios personal administrativo</t>
  </si>
  <si>
    <t>Servicios Básicos Administración</t>
  </si>
  <si>
    <t>Gastos Administrativos</t>
  </si>
  <si>
    <t>Inventario (Costo de ventas)</t>
  </si>
  <si>
    <t>Costos</t>
  </si>
  <si>
    <t>Análisis</t>
  </si>
  <si>
    <t>Tipo de Egreso</t>
  </si>
  <si>
    <t>Egresos</t>
  </si>
  <si>
    <t>Año 5</t>
  </si>
  <si>
    <t>Año 4</t>
  </si>
  <si>
    <t>Año 3</t>
  </si>
  <si>
    <t>Año 2</t>
  </si>
  <si>
    <t>Año 1</t>
  </si>
  <si>
    <t>Concepto</t>
  </si>
  <si>
    <t>Fondos de reserva</t>
  </si>
  <si>
    <t>Egreso Flujo Total</t>
  </si>
  <si>
    <t>Amortizaciones</t>
  </si>
  <si>
    <t>Depreciaciones</t>
  </si>
  <si>
    <t>Gastos Operacionales</t>
  </si>
  <si>
    <t>Años</t>
  </si>
  <si>
    <t xml:space="preserve">Concepto </t>
  </si>
  <si>
    <t>Otros Gastos No Operacionales</t>
  </si>
  <si>
    <t>Capital de Trabajo</t>
  </si>
  <si>
    <t>Total</t>
  </si>
  <si>
    <t>Detalle</t>
  </si>
  <si>
    <t>TOTAL</t>
  </si>
  <si>
    <t>Cálculo Anual</t>
  </si>
  <si>
    <t>Observaciones</t>
  </si>
  <si>
    <t>Monto Adeudado</t>
  </si>
  <si>
    <t>Amortización</t>
  </si>
  <si>
    <t>Cuota Fija</t>
  </si>
  <si>
    <t>Interés</t>
  </si>
  <si>
    <t>Capital</t>
  </si>
  <si>
    <t>TOTAL PASIVO + PATRIMONIO</t>
  </si>
  <si>
    <t>Fondos de Operación</t>
  </si>
  <si>
    <t>Capital Social</t>
  </si>
  <si>
    <t>PATRIMONIO</t>
  </si>
  <si>
    <t>Préstamo Bancario a largo plazo</t>
  </si>
  <si>
    <t>NO CORRIENTE</t>
  </si>
  <si>
    <t>PASIVO CORRIENTE</t>
  </si>
  <si>
    <t>PASIVO</t>
  </si>
  <si>
    <t>TOTAL ACTIVOS</t>
  </si>
  <si>
    <t>Patentes y Marcas</t>
  </si>
  <si>
    <t>Diferidos e Intangibles</t>
  </si>
  <si>
    <t>Equipo de Cómputo</t>
  </si>
  <si>
    <t>Muebles de Oficina</t>
  </si>
  <si>
    <t>Muebles y Enseres</t>
  </si>
  <si>
    <t>Vehículos</t>
  </si>
  <si>
    <t>Propiedad Planta y Equipo</t>
  </si>
  <si>
    <t>CORRIENTE</t>
  </si>
  <si>
    <t>ACTIVOS</t>
  </si>
  <si>
    <t>TOTAL GASTOS FINANCIEROS</t>
  </si>
  <si>
    <t>Servicios y Comisiones Bancarias</t>
  </si>
  <si>
    <t>Gasto Interés</t>
  </si>
  <si>
    <t xml:space="preserve">Año 1 </t>
  </si>
  <si>
    <t>DETALLE</t>
  </si>
  <si>
    <t>(=) Resultado Neto en el Ejercicio</t>
  </si>
  <si>
    <t>(=) Resultados Antes de Reservas</t>
  </si>
  <si>
    <t>(-) 22% Impuesto a la Renta</t>
  </si>
  <si>
    <t>(=) Resultado Antes de Impuestos</t>
  </si>
  <si>
    <t>(-) 15% articipación a Trabajadores</t>
  </si>
  <si>
    <t>(=) Resultado Antes de Participación a Trabajadores</t>
  </si>
  <si>
    <t>(-) Otros Gastos No Operacionales</t>
  </si>
  <si>
    <t>(-) Gastos Financieros</t>
  </si>
  <si>
    <t>(-) Gastos No Operacionales</t>
  </si>
  <si>
    <t>(+) Ingreso por Ventas de Activos Depreciados</t>
  </si>
  <si>
    <t>(+) Ingresos No Operacionales</t>
  </si>
  <si>
    <t>(=) Resultado Operacional</t>
  </si>
  <si>
    <t>(-) Amortizaciones</t>
  </si>
  <si>
    <t>(-) Depreciaciones</t>
  </si>
  <si>
    <t>(-) Gastos Administrativos</t>
  </si>
  <si>
    <t>(-) Gastos Operacionales</t>
  </si>
  <si>
    <t>(=) Resultado Bruto en Ventas</t>
  </si>
  <si>
    <t>Ingresos Operacionales</t>
  </si>
  <si>
    <t>AÑOS</t>
  </si>
  <si>
    <t>VEHÍCULOS</t>
  </si>
  <si>
    <t xml:space="preserve">TOTAL VEHÍCULOS </t>
  </si>
  <si>
    <t>DEPRECIACIONES</t>
  </si>
  <si>
    <t xml:space="preserve">GASTOS </t>
  </si>
  <si>
    <t xml:space="preserve">TABLA DE AMORTIZACIONES </t>
  </si>
  <si>
    <t xml:space="preserve">CUADRO DE COSTOS </t>
  </si>
  <si>
    <t xml:space="preserve">Materia Prima </t>
  </si>
  <si>
    <t>Suministros de limpieza</t>
  </si>
  <si>
    <t>TOTAL DE GASTOS OPERACIONALES AL AÑO</t>
  </si>
  <si>
    <t>Gastos no Operacionales</t>
  </si>
  <si>
    <t xml:space="preserve">DEPRECIACIÓN DE ACTIVOS </t>
  </si>
  <si>
    <t>-</t>
  </si>
  <si>
    <t>AÑO</t>
  </si>
  <si>
    <t>Descripción</t>
  </si>
  <si>
    <t>CUADRO DE COSTOS ANUALES</t>
  </si>
  <si>
    <t>Fijo</t>
  </si>
  <si>
    <t xml:space="preserve">Variable </t>
  </si>
  <si>
    <t xml:space="preserve">Fijo </t>
  </si>
  <si>
    <t>El trabajador cobra mensualmente por los servicios prestados a la empresa.</t>
  </si>
  <si>
    <t xml:space="preserve">Estos gastos no dependen directamente de las ventas </t>
  </si>
  <si>
    <t>Se comercialice o no los servicios, su uso es necesario para la empresa.</t>
  </si>
  <si>
    <t xml:space="preserve">Gastos Financieros </t>
  </si>
  <si>
    <t>Servicios y comisiones bancarias</t>
  </si>
  <si>
    <t>Otros Gastos no Operacionales</t>
  </si>
  <si>
    <t>Total  Gastos no Operacionales</t>
  </si>
  <si>
    <t xml:space="preserve">Periodos </t>
  </si>
  <si>
    <t xml:space="preserve">Porcentaje de aporte al IESS </t>
  </si>
  <si>
    <t xml:space="preserve">Beneficios de ley </t>
  </si>
  <si>
    <t xml:space="preserve">Décimo tercer sueldo </t>
  </si>
  <si>
    <t xml:space="preserve">Décimo cuarto sueldo </t>
  </si>
  <si>
    <t xml:space="preserve">Aporte patronal </t>
  </si>
  <si>
    <t xml:space="preserve">Vacaciones </t>
  </si>
  <si>
    <t>Son los gastos financieros que pueden incurrir durante un año.</t>
  </si>
  <si>
    <t>Es el total de los gastos operacionales anual  y mensual.</t>
  </si>
  <si>
    <t>Es la suma total de los gastos no operacionales.</t>
  </si>
  <si>
    <t>La sumatoria de todos los valores es  el capital de trabajo anual y mensual.</t>
  </si>
  <si>
    <t>CONCEPTO</t>
  </si>
  <si>
    <t xml:space="preserve">TOTAL DE GASTOS DE ADMINISTRACIÓN </t>
  </si>
  <si>
    <t xml:space="preserve">GASTO DE VENTAS </t>
  </si>
  <si>
    <t>EGRESOS FIJOS</t>
  </si>
  <si>
    <t>ESTRUCTURA FINANCIERA</t>
  </si>
  <si>
    <t xml:space="preserve">CÁLCULO DE LA CUOTA FIJA </t>
  </si>
  <si>
    <t>GASTOS FINANCIEROS</t>
  </si>
  <si>
    <t xml:space="preserve">ESTADO DE RESULTADOS </t>
  </si>
  <si>
    <t>Gastos de instalación y puesta en marcha</t>
  </si>
  <si>
    <t xml:space="preserve">Escritorio en L </t>
  </si>
  <si>
    <t xml:space="preserve">Publicidad   </t>
  </si>
  <si>
    <t xml:space="preserve">Inversión en capital de trabajo </t>
  </si>
  <si>
    <t xml:space="preserve">CUADRO DE COSTOS ANUALES </t>
  </si>
  <si>
    <t>GASTOS NO OPERACIONALES</t>
  </si>
  <si>
    <t>FUENTES Y USO DE FONDOS EN DÓLARES</t>
  </si>
  <si>
    <t xml:space="preserve">ESTADO DE SITUACIÓN INICIAL </t>
  </si>
  <si>
    <t xml:space="preserve">Estudio de factibilidad </t>
  </si>
  <si>
    <t xml:space="preserve">Central telefónica </t>
  </si>
  <si>
    <t xml:space="preserve">Impresora </t>
  </si>
  <si>
    <t xml:space="preserve">Computadora de Escritorio </t>
  </si>
  <si>
    <t>MAQUINARIA Y EQUIPO</t>
  </si>
  <si>
    <t>TOTAL MAQUINARIA Y EQUIPO</t>
  </si>
  <si>
    <t>Gerente</t>
  </si>
  <si>
    <t>Contador</t>
  </si>
  <si>
    <t>Supervisor de producción</t>
  </si>
  <si>
    <t xml:space="preserve">Depreciación mensual vehículo </t>
  </si>
  <si>
    <t>Varios</t>
  </si>
  <si>
    <t>COSTOS MENSUALES</t>
  </si>
  <si>
    <t xml:space="preserve"> Agua, luz, teléfono e internet</t>
  </si>
  <si>
    <t>Pago servicios básicos</t>
  </si>
  <si>
    <t xml:space="preserve">Aporte al IESS  %11.15 </t>
  </si>
  <si>
    <t>PRESUPUESTO ANUAL</t>
  </si>
  <si>
    <t xml:space="preserve">Servicios y comisiones bancarias </t>
  </si>
  <si>
    <t>$5,00 mensuales por 12 meses del año</t>
  </si>
  <si>
    <t>Son gastos imprevistos que pueden incidir dentro de un año.</t>
  </si>
  <si>
    <t xml:space="preserve">Inversión de activos diferidos e intangibles </t>
  </si>
  <si>
    <t>Activos de la empresa</t>
  </si>
  <si>
    <t>Tabla de Amortización</t>
  </si>
  <si>
    <t>Capital de trabajo</t>
  </si>
  <si>
    <t>CUADRO DE INGRESOS AÑO 1</t>
  </si>
  <si>
    <t>CONTENIDO</t>
  </si>
  <si>
    <t>PRECIO EN EL MERCADO</t>
  </si>
  <si>
    <t>INGRESOS</t>
  </si>
  <si>
    <t>UNIDADES POR COMERCIALIZAR EN EL AÑO</t>
  </si>
  <si>
    <t>TOTAL AL AÑO 1</t>
  </si>
  <si>
    <t>CUADRO DE INGRESOS AÑO 2</t>
  </si>
  <si>
    <t>TOTAL AL AÑO 2</t>
  </si>
  <si>
    <t>CUADRO DE INGRESOS AÑO 3</t>
  </si>
  <si>
    <t>TOTAL AL AÑO 3</t>
  </si>
  <si>
    <t>CUADRO DE INGRESOS AÑO 4</t>
  </si>
  <si>
    <t>TOTAL AL AÑO 4</t>
  </si>
  <si>
    <t>TOTAL AL AÑO 5</t>
  </si>
  <si>
    <t>TOTAL INGRESOS ANUALES</t>
  </si>
  <si>
    <t>GASTOS OPERACIONALES Y NO OPERACIONALES</t>
  </si>
  <si>
    <t>TASA ACTIVA AÑO 2018 PYMES</t>
  </si>
  <si>
    <t>C= Capital</t>
  </si>
  <si>
    <t>i= Tasa de interes</t>
  </si>
  <si>
    <t>n= tiempo</t>
  </si>
  <si>
    <t>Equipo de Oficina</t>
  </si>
  <si>
    <t>Maquinaria y Equipo</t>
  </si>
  <si>
    <t>Etiquetas</t>
  </si>
  <si>
    <t>DETERMINACIÓN DE COSTOS</t>
  </si>
  <si>
    <t>Mano de obra directa</t>
  </si>
  <si>
    <t>COSTOS DIARIOS</t>
  </si>
  <si>
    <t xml:space="preserve">% DE DEPRECIACIÓN ANUAL </t>
  </si>
  <si>
    <t xml:space="preserve">AÑOS DE VIDA ÚTIL </t>
  </si>
  <si>
    <t xml:space="preserve">Total Sueldos y Provisiones </t>
  </si>
  <si>
    <r>
      <rPr>
        <b/>
        <sz val="12"/>
        <color theme="1"/>
        <rFont val="Arial"/>
        <family val="2"/>
      </rPr>
      <t>Fuente</t>
    </r>
    <r>
      <rPr>
        <sz val="12"/>
        <color theme="1"/>
        <rFont val="Arial"/>
        <family val="2"/>
      </rPr>
      <t>:  https://contenido.bce.fin.ec/docs.php?path=/documentos/Estadisticas/SectorMonFin/TasasInteres/Indice.htm</t>
    </r>
  </si>
  <si>
    <t>Camión</t>
  </si>
  <si>
    <t>Camioneta</t>
  </si>
  <si>
    <t>Toyota Hi Lux 2018. Doble cabina. 5 velocidades. 4x 4</t>
  </si>
  <si>
    <t>Copiadora</t>
  </si>
  <si>
    <t>Ricoh Sp 5200, Color, B/N, Scanner, WiFi, USB</t>
  </si>
  <si>
    <t>Teléfonos básicos</t>
  </si>
  <si>
    <t>Panasonic Kxtes 824, 3 líneas telefónicas (incluye 3 teléfonos de extensiones)</t>
  </si>
  <si>
    <t>Panasonic Kts 500 con speaker integrado</t>
  </si>
  <si>
    <t xml:space="preserve">Epson Tanque de Tinta. Resolución 4800 x 1200 dpi optimizados. </t>
  </si>
  <si>
    <t>Archivadores</t>
  </si>
  <si>
    <t>Metálicos de 4 cajones con seguridad</t>
  </si>
  <si>
    <t>Mesa de reuniones</t>
  </si>
  <si>
    <t>Ovalada. 8 Puestos</t>
  </si>
  <si>
    <t>Mini estación, 2 gavetas en L. 1.80 x 2.00</t>
  </si>
  <si>
    <t>Silla</t>
  </si>
  <si>
    <t>ATU. Forradas con tela o corosil negro, metálicas.</t>
  </si>
  <si>
    <t>Intel Core I7 Lenovo 19,5" 8Gb en RAM 1Tb en Disco Duro, Windows 10</t>
  </si>
  <si>
    <t>Cinta transportadora</t>
  </si>
  <si>
    <t xml:space="preserve">De Acero Inoxidable, resistente a pruebas de abrasión, forma-retención de las correas de acero para la transformación de los alimentos. </t>
  </si>
  <si>
    <t>A gas, para la cocción de la quinua, con máximo aprovechamiento de los gases. Capacidad 500 Kg.</t>
  </si>
  <si>
    <t>Caldera</t>
  </si>
  <si>
    <t>Modular, aprobada por FDA. Flexible.</t>
  </si>
  <si>
    <t>Cinta transportadora de rodillos</t>
  </si>
  <si>
    <t>Peso máximo de 390 Kg., Vertical.</t>
  </si>
  <si>
    <t>Separador de pedidos</t>
  </si>
  <si>
    <t>De motor a diésel, para cargas de hasta 1500 Kg., con elevaciones desde 1m. hasta 30m.</t>
  </si>
  <si>
    <t>Carretilla elevadora apiladora</t>
  </si>
  <si>
    <t>Congelador</t>
  </si>
  <si>
    <t>Aislamiento térmico y sistema frigorífico. Soporte temperaturas de -30ºC a - 4ºC. 4 compartimentos.</t>
  </si>
  <si>
    <t>Chillers (Sistema de frío)</t>
  </si>
  <si>
    <t>Forma estándar y compactas hasta 1.000 TR, con compresores a tornillos y tornillos-inverter de hasta 450 Cv. Desarrollados bajo Sistema de Gestión de Calidad.</t>
  </si>
  <si>
    <t>Digital. Pantalla LCD. Batería. 50 Kg.</t>
  </si>
  <si>
    <t>Balanza de mostrador</t>
  </si>
  <si>
    <t>Balanza electrónica</t>
  </si>
  <si>
    <t>Cámara de Video</t>
  </si>
  <si>
    <t>Para circuito cerrado de vigilancia. IP Wifi inalámbrico. Visión Nocturna.</t>
  </si>
  <si>
    <t>Pantalla LCD</t>
  </si>
  <si>
    <t>Proyección eléctrica de 120" con control inalámbrico.</t>
  </si>
  <si>
    <t>ACTIVOS FIJOS</t>
  </si>
  <si>
    <t xml:space="preserve">EQUIPO DE CÓMPUTO </t>
  </si>
  <si>
    <t>$8.508,88 más 1% adicional</t>
  </si>
  <si>
    <t>$8.593,97 mas 1% adicional</t>
  </si>
  <si>
    <t>$8.679,91 más 1% adicional</t>
  </si>
  <si>
    <t>$8.508,88*0,01</t>
  </si>
  <si>
    <t>$8.593,97*0,01</t>
  </si>
  <si>
    <t>$8.679,91*0,01</t>
  </si>
  <si>
    <t>$8.508,88 + $85,09</t>
  </si>
  <si>
    <t>$8.679,91 + $86,80</t>
  </si>
  <si>
    <t>$8.593,97 + $85,94</t>
  </si>
  <si>
    <t xml:space="preserve">REAPRECIACIÓN DE EQUIPO DE CÓMPUTO </t>
  </si>
  <si>
    <t>Es decir costará $85,09 más</t>
  </si>
  <si>
    <t>Es decir costará $85,94 más</t>
  </si>
  <si>
    <t xml:space="preserve">Es decir costará $ 86,80 más </t>
  </si>
  <si>
    <t>EDIFICIOS Y CONSTRUCCIONES</t>
  </si>
  <si>
    <t>Terreno</t>
  </si>
  <si>
    <r>
      <t>10.000 m</t>
    </r>
    <r>
      <rPr>
        <vertAlign val="superscript"/>
        <sz val="12"/>
        <rFont val="Arial"/>
        <family val="2"/>
      </rPr>
      <t>2</t>
    </r>
    <r>
      <rPr>
        <sz val="12"/>
        <rFont val="Arial"/>
        <family val="2"/>
      </rPr>
      <t xml:space="preserve"> (1ha)</t>
    </r>
  </si>
  <si>
    <t>Edificio</t>
  </si>
  <si>
    <t>Construcción</t>
  </si>
  <si>
    <t>TOTAL EDIFICIOS Y CONSTRUCCIONES</t>
  </si>
  <si>
    <t>Comprende la sumatoria de los totales de Edificios y Construcciones, Vehículos, Muebles y Enseres, Muebles de Oficina, Equipos de Oficina, Equipo de Computación y Maquinaria y Equipo</t>
  </si>
  <si>
    <t>REPOSICIÓN DE EDIFICIOS Y CONSTRUCCIONES</t>
  </si>
  <si>
    <t xml:space="preserve">REPOSICIÓN DE EQ DE CÓMPUTO </t>
  </si>
  <si>
    <t>REAPRECIACIÓN DE EDIFICIOS Y CONSTRUCCIONES</t>
  </si>
  <si>
    <t>$250.000,00 más 1% adicional</t>
  </si>
  <si>
    <t>$252.500,00 mas 1% adicional</t>
  </si>
  <si>
    <t>$255.025,00 más 1% adicional</t>
  </si>
  <si>
    <t>$250.000,00*0,01</t>
  </si>
  <si>
    <t>$252.500,00*0,01</t>
  </si>
  <si>
    <t>$255.025,00*0,01</t>
  </si>
  <si>
    <t>Es decir costará $2.500,00 más</t>
  </si>
  <si>
    <t>Es decir costará $2.525,00 más</t>
  </si>
  <si>
    <t xml:space="preserve">Es decir costará $2.550,25 más </t>
  </si>
  <si>
    <t>$250.000,00 + $2.500,00</t>
  </si>
  <si>
    <t>$252.500,00 + $2.525,00</t>
  </si>
  <si>
    <t>$255.025,00 + $2.550,25</t>
  </si>
  <si>
    <t>https://www.propiedadintelectual.gob.ec/wp-content/uploads/2013/08/tarifario-de-tasas-con-descuentos.pdf</t>
  </si>
  <si>
    <t>Sistema de Facturación y Contabilidad</t>
  </si>
  <si>
    <t>Patente Municipal</t>
  </si>
  <si>
    <t>https://www.latacunga.gob.ec/images/pdf/Ordenanzas/ordenanza_1_33.pdf</t>
  </si>
  <si>
    <t>COSTO = Materia Prima + Mano de Obra + Costos Indirectos de Fabricación</t>
  </si>
  <si>
    <t>Bandejas</t>
  </si>
  <si>
    <t>PRODUCTO</t>
  </si>
  <si>
    <t>Cajas</t>
  </si>
  <si>
    <t>De cartón corrugado resistente a la humedad. Paquete por 500 u</t>
  </si>
  <si>
    <t>Asistente de Gerencia</t>
  </si>
  <si>
    <t>Asistente Administrativo</t>
  </si>
  <si>
    <t>Jefe de Producción</t>
  </si>
  <si>
    <t xml:space="preserve">Décimo Tercero  </t>
  </si>
  <si>
    <t>Décimo Cuarto</t>
  </si>
  <si>
    <t>Puesto</t>
  </si>
  <si>
    <t>Materia Prima</t>
  </si>
  <si>
    <t>Producto</t>
  </si>
  <si>
    <t>Valor</t>
  </si>
  <si>
    <t>Mano de Obra</t>
  </si>
  <si>
    <t>Subtotal:</t>
  </si>
  <si>
    <t>TOTAL MANO DE OBRA:</t>
  </si>
  <si>
    <t>Cantidad</t>
  </si>
  <si>
    <t>Sueldo Total</t>
  </si>
  <si>
    <t>Operarios</t>
  </si>
  <si>
    <t>Jefe de Ventas y Atención al Cliente</t>
  </si>
  <si>
    <t>Jefe de Talento Humano</t>
  </si>
  <si>
    <t>Jefe de Seguridad</t>
  </si>
  <si>
    <t>Vendedor</t>
  </si>
  <si>
    <t>Personal de Servicios Generales</t>
  </si>
  <si>
    <t>Sueldo por puesto (1 persona)</t>
  </si>
  <si>
    <t>Bodeguero</t>
  </si>
  <si>
    <t>Chofer Trailer</t>
  </si>
  <si>
    <t>Personal de Seguridad (Guardia)</t>
  </si>
  <si>
    <t>Trailer concadena de frío y camioneta</t>
  </si>
  <si>
    <t>Diesel (Diario $20,00)</t>
  </si>
  <si>
    <t>Cambio de aceite ($160,00 Cada 5000km. Aproximadamente cada 3 meses, incluye cambio de filtros)</t>
  </si>
  <si>
    <t>Mantenimiento (ABC cada 3 meses) ($40,00 por vehículo)</t>
  </si>
  <si>
    <t>Página Web Interactiva</t>
  </si>
  <si>
    <t>Trípticos x 100</t>
  </si>
  <si>
    <t>Vallas Publicitarias (2 por año - $1.000,00)</t>
  </si>
  <si>
    <t>Resma de papel bond A4, 72gr (2 mensuales - $2,85)</t>
  </si>
  <si>
    <t>Esferos (azul, negro, rojo, verde - 1 caja c/u)</t>
  </si>
  <si>
    <t>Folders (2 docenas - $2,40 c/(docena)</t>
  </si>
  <si>
    <t>TOTAL:</t>
  </si>
  <si>
    <t>Tintas y toner para copiadora, impresora y fax</t>
  </si>
  <si>
    <t>Otros</t>
  </si>
  <si>
    <t>Adhesivas. Rollo de 10.000 etiquetas</t>
  </si>
  <si>
    <t>Unidad</t>
  </si>
  <si>
    <t>Aliñada</t>
  </si>
  <si>
    <t>50 gr</t>
  </si>
  <si>
    <t>Apanada</t>
  </si>
  <si>
    <t>125 gr</t>
  </si>
  <si>
    <t>Precocidas</t>
  </si>
  <si>
    <t>250 gr</t>
  </si>
  <si>
    <t>Bolitas</t>
  </si>
  <si>
    <t>500 gr</t>
  </si>
  <si>
    <t>Hamburguesas</t>
  </si>
  <si>
    <t>Crudas</t>
  </si>
  <si>
    <t>250gr</t>
  </si>
  <si>
    <t>500gr</t>
  </si>
  <si>
    <t>Nuggets</t>
  </si>
  <si>
    <t>1Kg</t>
  </si>
  <si>
    <t>Cruda</t>
  </si>
  <si>
    <t>1 Kg</t>
  </si>
  <si>
    <t>Ahumada</t>
  </si>
  <si>
    <t>CIF</t>
  </si>
  <si>
    <t>COSTOS FIJOS (Mensual)</t>
  </si>
  <si>
    <t>Mano de Obra Indirecta</t>
  </si>
  <si>
    <t>Personal Administrativo</t>
  </si>
  <si>
    <t>Presentación</t>
  </si>
  <si>
    <t>$500 cada tres meses (de acuerdo a las necesidades fruto de la experiencia en el sector, de los requerimientos de empresas similares y consultas a potenciales proveedores)</t>
  </si>
  <si>
    <t>GASTOS DE ADMINISTRACIÓN</t>
  </si>
  <si>
    <t>PARCIAL</t>
  </si>
  <si>
    <t>CÁLCULO</t>
  </si>
  <si>
    <t>Servicios Básicos de administración</t>
  </si>
  <si>
    <t>Sueldos y salarios personal administrativo</t>
  </si>
  <si>
    <t>Sumatoria de los sueldos anuales del personal del área</t>
  </si>
  <si>
    <t>Beneficios de ley</t>
  </si>
  <si>
    <t>Rubro que se debe calcular en base a lo dispuesto por la ley</t>
  </si>
  <si>
    <t>Décimo tercer sueldo</t>
  </si>
  <si>
    <t>Décimo cuarto sueldo</t>
  </si>
  <si>
    <t>Aporte patronal</t>
  </si>
  <si>
    <t>De acuerdo lo que establece el IESS, el aporte patronal a la fecha es del 11,15%</t>
  </si>
  <si>
    <t>Tienen derecho todos los trabajadores que han cumplido un año de trabajo</t>
  </si>
  <si>
    <t>Vacaciones</t>
  </si>
  <si>
    <t>Activos menores</t>
  </si>
  <si>
    <t>TOTAL GASTOS DE ADMINISTRACIÓN</t>
  </si>
  <si>
    <t>PAGO DE SUELDO A UN GERENTE</t>
  </si>
  <si>
    <t>PAGO DE SUELDO A UN CONTADOR</t>
  </si>
  <si>
    <t>PAGO DE SUELDO A UNA ASISTENTE DE GERENCIA</t>
  </si>
  <si>
    <t>PAGO DE SUELDO A UN ASISTENTE ADMINISTRATIVO</t>
  </si>
  <si>
    <t>PAGO DE SUELDO A UN JEFE DE SEGURIDAD</t>
  </si>
  <si>
    <t>PAGO DE SUELDO  A PERSONAL DE SEGURIDAD (GUARDIAS)</t>
  </si>
  <si>
    <t>PAGO DE SUELDO A PERSONAL DE SERVICIOS GENERALES</t>
  </si>
  <si>
    <t>$150 cada tres meses (los activos menores como se explicó en la presupuestación de activos fijos, son activos cuyo valor monetario es mínimo, ejemplo: cuadros, floreros, adornos, manteles y similares; de la misma forma se presupuestan en base a las necesidades internas de la empresa de estos artículos en relación con los precios en el mercado, respaldando con proformas de los mismos)</t>
  </si>
  <si>
    <t>PAGO DE SUELDO A UN JEFE DE TALENTO HUMANO</t>
  </si>
  <si>
    <t>$100 cada tres meses (los suministros de aseo y limpieza para el área administrativa se presupuestan en base a las necesidades internas de la empresa de estos artículos en relación con los precios en el mercado, respaldando con proformas de los mismos)</t>
  </si>
  <si>
    <t>Suministros de Aseo y Limpieza</t>
  </si>
  <si>
    <t>$ 70 mensuales por 12 meses</t>
  </si>
  <si>
    <t>$600 mensuales por 12 meses</t>
  </si>
  <si>
    <t>La doceava parte de todos los ingresos recibidos en el año, por cada trabajador.</t>
  </si>
  <si>
    <t>Es igual a un sueldo básico unificado por cada trabajador por año.</t>
  </si>
  <si>
    <t>5% de los gastos operacionales</t>
  </si>
  <si>
    <t xml:space="preserve">VIDA ÚTIL EN AÑOS </t>
  </si>
  <si>
    <t>http://www.ccpl.org.pe/webadm/aporte/DepreciacionContableActivosFijos.pdf</t>
  </si>
  <si>
    <t>CPC César Rivadeneyra Fernández</t>
  </si>
  <si>
    <t>Ejercicio de ejemplo dónde se realizó el cálculo</t>
  </si>
  <si>
    <t>Depende de las ventas</t>
  </si>
  <si>
    <t>GASTOS ADMIN</t>
  </si>
  <si>
    <t>Activos Menores</t>
  </si>
  <si>
    <t>Sumisnistros de Aseo y Limpieza</t>
  </si>
  <si>
    <t>El pago es mensual y obligatorio se venda o no y de no realizar el pago, pueden suspender los servicios básicos.</t>
  </si>
  <si>
    <t>Este pago es adicional a los sueldos y salarios, el mismo debe ser pagado de forma mensual o acumulada en las fechas establecidas en la Ley.</t>
  </si>
  <si>
    <t>Son necesarios para el mejor funcionamiento de la empresa, su compra es necesaria para mantener un buen ambiente de trabajo.</t>
  </si>
  <si>
    <t>Son necesarios para el funcionamiento de la empresa, su compra es necesaria para la comercialización del servicio.</t>
  </si>
  <si>
    <t>Se debe cancelar mensualmente, así no se comercialice el bien.</t>
  </si>
  <si>
    <t>Se debe realizar la publicidad para atraer y fidelizar clientes.</t>
  </si>
  <si>
    <t>Son necesarios para la comercialización y distribución del producto.</t>
  </si>
  <si>
    <t>Se debe cancelar las obligaciones por el servicio que prestan las instituciones financieras.</t>
  </si>
  <si>
    <t>GASTO NO OPERACIONAL</t>
  </si>
  <si>
    <t>Se asigna un valor por cualquier imprevisto, en este caso se asignó el 5% de los gastos operacionales.</t>
  </si>
  <si>
    <t xml:space="preserve"> AÑO 1</t>
  </si>
  <si>
    <t>COSTO TOTAL AL AÑO</t>
  </si>
  <si>
    <t>GASTOS OPERACIONALES</t>
  </si>
  <si>
    <t>EGRESO FIJO TOTAL</t>
  </si>
  <si>
    <t>INVERSIONES</t>
  </si>
  <si>
    <t>ACTIVOS DIFERIDOS E INTANGIBLES</t>
  </si>
  <si>
    <t>CAPITAL DE TRABAJO</t>
  </si>
  <si>
    <t>TOTAL INVERSIONES</t>
  </si>
  <si>
    <t>PORCENTAJES</t>
  </si>
  <si>
    <t>ORIGEN Y APLICACIÓN DE FONDOS</t>
  </si>
  <si>
    <t>VALOR TOTAL</t>
  </si>
  <si>
    <t>RECURSOS PROPIOS</t>
  </si>
  <si>
    <t>RECURSOS FINANCIEROS</t>
  </si>
  <si>
    <t>MONTO DE INVERSIÓN</t>
  </si>
  <si>
    <t>PORCENTAJE DE INVERSIÓN</t>
  </si>
  <si>
    <t>CAPITAL PROPIO</t>
  </si>
  <si>
    <t>CAPITAL FINANCIADO</t>
  </si>
  <si>
    <t>Cálculo de la Cuota Fija (Método francés)</t>
  </si>
  <si>
    <t>Empresa de producción y comercialización de carne con quinua "Super Carne"</t>
  </si>
  <si>
    <t>Al 1 de Enero del 2018</t>
  </si>
  <si>
    <t>(-) 10% Reserva Legal</t>
  </si>
  <si>
    <t>TMAR</t>
  </si>
  <si>
    <t>INDICADORES PARA EL CAPITAL PROPIO</t>
  </si>
  <si>
    <t>INFLACIÓN</t>
  </si>
  <si>
    <t>FINANCIADO POR</t>
  </si>
  <si>
    <t>APORTACIÒN</t>
  </si>
  <si>
    <t>PONDERACIÒN</t>
  </si>
  <si>
    <t>CRÈDITO BANCARIO</t>
  </si>
  <si>
    <t>TMAR GLOBAL</t>
  </si>
  <si>
    <t>https://contenido.bce.fin.ec/resumen_ticker.php?ticker_value=inflacion_mensual</t>
  </si>
  <si>
    <t>https://contenido.bce.fin.ec/resumen_ticker.php?ticker_value=activa</t>
  </si>
  <si>
    <t>TASA ACTIVA</t>
  </si>
  <si>
    <r>
      <rPr>
        <b/>
        <sz val="11"/>
        <color theme="1"/>
        <rFont val="Century Gothic"/>
        <family val="2"/>
        <scheme val="minor"/>
      </rPr>
      <t>Análisis:</t>
    </r>
    <r>
      <rPr>
        <sz val="11"/>
        <color theme="1"/>
        <rFont val="Century Gothic"/>
        <family val="2"/>
        <scheme val="minor"/>
      </rPr>
      <t xml:space="preserve"> De  acuerdo al  cálculo realizado para determinar la TMAR se determina que el proyecto cuenta con capital propio que representa un 10% de la inversión el mismo  que es aportado por los accionistas, por otra parte cuenta con un financiamiento que representa el 90% para lo cual la TMAR fue asignada en la relación a la tasa activa para PYMES, y la TMAR del capital propio es la tasa mínima aceptable de rendimiento; dando una TMAR GLOBAL DEL 11.44%, que es una tasa rentable para este tipo de negocio.</t>
    </r>
  </si>
  <si>
    <t>VALOR ACTUAL NETO</t>
  </si>
  <si>
    <t>FLUJO NETOS DE FONDOS EN DÓLARES</t>
  </si>
  <si>
    <t>=VNA(C2;C6;D6;E6;F6;G6;H6)</t>
  </si>
  <si>
    <t>VAN</t>
  </si>
  <si>
    <t>TASA INTERNA DE RETORNO</t>
  </si>
  <si>
    <t>TIR</t>
  </si>
  <si>
    <t>=TIR(D7:I8)</t>
  </si>
  <si>
    <t>((1))</t>
  </si>
  <si>
    <t>((2))</t>
  </si>
  <si>
    <t>((3))</t>
  </si>
  <si>
    <t>((4))</t>
  </si>
  <si>
    <t>((5))</t>
  </si>
  <si>
    <t>((6))</t>
  </si>
  <si>
    <t>((7))</t>
  </si>
  <si>
    <t>((8))</t>
  </si>
  <si>
    <t>CANTIDAD COMERCIALIZADA POR AÑO EN UNIDADES</t>
  </si>
  <si>
    <t>PRECIO DE VENTA UNITARIO</t>
  </si>
  <si>
    <t>PRECIO PONDERADO (4x5)</t>
  </si>
  <si>
    <t>COSTO VARIABLE UNITARIO</t>
  </si>
  <si>
    <t>COSTO VARIABLE PONDERADO (4x7)</t>
  </si>
  <si>
    <t>TOTALES</t>
  </si>
  <si>
    <t>PORCENTAJE DE COMERCIALIZACIÓN ANUAL</t>
  </si>
  <si>
    <t>PE UNIDADES</t>
  </si>
  <si>
    <t>PE</t>
  </si>
  <si>
    <t>=</t>
  </si>
  <si>
    <t xml:space="preserve">                                                  COSTO FIJO                                                                      </t>
  </si>
  <si>
    <t>PRECIO PONDERADO      =</t>
  </si>
  <si>
    <t>COSTO VARIABLE UNITARIO PONDERADO</t>
  </si>
  <si>
    <t>PRECIO PONDERADO</t>
  </si>
  <si>
    <t>PE DÓLARES</t>
  </si>
  <si>
    <t>1 -</t>
  </si>
  <si>
    <t>1-</t>
  </si>
  <si>
    <t>CÁLCULO DEL PUNTO DE EQUILIBRIO (UNIDADES)</t>
  </si>
  <si>
    <t>PUNTO DE EQUILIBRIO EN UNIDADES (DÓLARES)</t>
  </si>
  <si>
    <t>INGRESOS TOTALES</t>
  </si>
  <si>
    <t>EGRESO VARIABLE</t>
  </si>
  <si>
    <t>EGRESO FIJO</t>
  </si>
  <si>
    <t>EGRESO TOTAL</t>
  </si>
  <si>
    <t>PUNTO DE EQUILIBRIO</t>
  </si>
  <si>
    <t>PRI</t>
  </si>
  <si>
    <t xml:space="preserve">AÑO </t>
  </si>
  <si>
    <t>FLUJO DE FONDOS</t>
  </si>
  <si>
    <t>FLUJO DE FONDOS ACUMULADO</t>
  </si>
  <si>
    <t>AÑOS TRANSCURRIDOS:</t>
  </si>
  <si>
    <t>MESES TRANSCURRIDOS:</t>
  </si>
  <si>
    <t>INVERSIÓN INICIAL</t>
  </si>
  <si>
    <t>CÁLCULO Y ANÁLISIS DEL PRI</t>
  </si>
  <si>
    <t xml:space="preserve">APLICACIÓN DE LA FÓRMULA
</t>
  </si>
  <si>
    <t>DETERMINEMOS CUANTO REPRESENTA ESTO EN AÑOS, MESES, DÍAS</t>
  </si>
  <si>
    <t>DÍAS TRANSCURRIDOS:</t>
  </si>
  <si>
    <t>PRI =</t>
  </si>
  <si>
    <t xml:space="preserve"> + 1</t>
  </si>
  <si>
    <t>La parte entera del resultado representa los años</t>
  </si>
  <si>
    <t>Para determinar los meses se parte del resultado del PRI (1.10), la parte enterea, un año en este caso, es el año exacto transcurrido, por lo tanto la parte decimal representa parte de un año, para conocer las mismas en meses se multiplica por 12.</t>
  </si>
  <si>
    <t>Meses =</t>
  </si>
  <si>
    <t>Para determinar los días se parte del resultado obtenido en cálculo de meses (1.2), donde el uno representa el mes exacto transcurrido, por lo tanto la parte decimal representa parte de un mes, para conocer las mismas en días se multiplica por 30, ya que 30 días tiene un mes (tomando como referencia un mes comercial), este resultado representa el número de días, mismo que se debe aproximar al inmediato superior, sin importar los decimales que tenga, ya que estos representarían parte de un día, sin embargo no se puede hilar muy fino y determinar horas, minutos y segudos, por lo tanto, sin importar el decimal que salga, siempre se deberá aproximar un día más.</t>
  </si>
  <si>
    <t>Días =</t>
  </si>
  <si>
    <t xml:space="preserve">Días = </t>
  </si>
  <si>
    <t>0.2 x 30</t>
  </si>
  <si>
    <t>PRI =  1 AÑO, 1 MES Y 6 DÍAS</t>
  </si>
  <si>
    <t xml:space="preserve">Meses = </t>
  </si>
  <si>
    <t>0.10 x 12</t>
  </si>
  <si>
    <r>
      <t xml:space="preserve">FAMI: </t>
    </r>
    <r>
      <rPr>
        <sz val="12"/>
        <color theme="1"/>
        <rFont val="Arial"/>
        <family val="2"/>
      </rPr>
      <t xml:space="preserve"> Es el flujo acumulado menor a la inversión, se obtiene del total de fujos acumulados por simple observación, ya que es el inmediato anterior al período en el cuál la inversión se ha excedido, en este caso se invierte $538.871,23, el segundo año se sobrepasa esta inversión, por lo tanto se toma el flujo acumulado del año anterior.</t>
    </r>
  </si>
  <si>
    <r>
      <t>AT:</t>
    </r>
    <r>
      <rPr>
        <sz val="12"/>
        <color theme="1"/>
        <rFont val="Arial"/>
        <family val="2"/>
      </rPr>
      <t xml:space="preserve"> Número de años que han transcurrido hasta FAMI, en este caso 1 año.</t>
    </r>
  </si>
  <si>
    <r>
      <t>FAS:</t>
    </r>
    <r>
      <rPr>
        <sz val="12"/>
        <color theme="1"/>
        <rFont val="Arial"/>
        <family val="2"/>
      </rPr>
      <t xml:space="preserve"> Es el flujo del año siguiente al de FAMI, se toma en cuenta que se trata del flujo del año siguiente, no del flujo acumulado del año siguiente. Por lo tanto si FAMI se encontró en el primer año, FAS estará en el segundo, pero en la columna de flujos.</t>
    </r>
  </si>
  <si>
    <t>COSTOS</t>
  </si>
  <si>
    <t>BENEFICIO ACTUALIZADO (INGRESOS / COEFICIENTE)</t>
  </si>
  <si>
    <t>COSTO ACTUALIZADO (EGRESOS / COEFICIENTE)</t>
  </si>
  <si>
    <t>RC / B=</t>
  </si>
  <si>
    <t>i = TMAR = 11.44%</t>
  </si>
  <si>
    <r>
      <t>COEFICIENTE DE ACTUALIZACIÒN ( 1+ i)</t>
    </r>
    <r>
      <rPr>
        <b/>
        <vertAlign val="superscript"/>
        <sz val="12"/>
        <color theme="1"/>
        <rFont val="Arial"/>
        <family val="2"/>
      </rPr>
      <t>n</t>
    </r>
  </si>
  <si>
    <t xml:space="preserve">GASTOS FINANCIEROS </t>
  </si>
  <si>
    <t xml:space="preserve">CÁLCULO DEL CAPITAL DE TRABAJO PARA TRES MESES </t>
  </si>
  <si>
    <t>Kenworth K100</t>
  </si>
  <si>
    <t>Industrial. 500 Kg.</t>
  </si>
  <si>
    <t>Extracto de Espinaca</t>
  </si>
  <si>
    <t>40ml</t>
  </si>
  <si>
    <t>0.0015</t>
  </si>
  <si>
    <t>Extracto de Naranja</t>
  </si>
  <si>
    <t>200ml</t>
  </si>
  <si>
    <t>0.0005</t>
  </si>
  <si>
    <t>Extracto de Sandía</t>
  </si>
  <si>
    <t>160ml</t>
  </si>
  <si>
    <t>0.001</t>
  </si>
  <si>
    <t>Goma Xantana</t>
  </si>
  <si>
    <t xml:space="preserve">          5 gr</t>
  </si>
  <si>
    <t>Envase de Vidrio 330ml</t>
  </si>
  <si>
    <t>5 gramos</t>
  </si>
  <si>
    <t>160 ml</t>
  </si>
  <si>
    <t>200 ml</t>
  </si>
  <si>
    <t>40 ml</t>
  </si>
  <si>
    <t>Ingeniero Agroindustrial</t>
  </si>
  <si>
    <t>Salario Básico Unificado 2022</t>
  </si>
  <si>
    <t>https://drive.google.com/file/d/1srOmvvm_mP1lXDbO-XTnltSbGndsCNDS/view</t>
  </si>
  <si>
    <t>Envase</t>
  </si>
  <si>
    <t>COSTO POR UNIDAD</t>
  </si>
  <si>
    <t>$500 mensuales por 12 meses</t>
  </si>
  <si>
    <t>$425 mensuales por 12 meses</t>
  </si>
  <si>
    <t>3 guardias a $425 mensuales por persona por 12 meses.</t>
  </si>
  <si>
    <t>1 persona de servicios generales a $425 mensuales por 12 meses.</t>
  </si>
  <si>
    <t>Botella vidrio</t>
  </si>
  <si>
    <t>330ml</t>
  </si>
  <si>
    <t>Botella de vidrio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</si>
</sst>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Red]&quot;$&quot;\-#,##0.00"/>
    <numFmt numFmtId="44" formatCode="_ &quot;$&quot;* #,##0.00_ ;_ &quot;$&quot;* \-#,##0.00_ ;_ &quot;$&quot;* &quot;-&quot;??_ ;_ @_ "/>
    <numFmt numFmtId="164" formatCode="_(&quot;$&quot;\ * #,##0.00_);_(&quot;$&quot;\ * \(#,##0.00\);_(&quot;$&quot;\ * &quot;-&quot;??_);_(@_)"/>
    <numFmt numFmtId="165" formatCode="#,##0.00\ &quot;€&quot;;[Red]\-#,##0.00\ &quot;€&quot;"/>
    <numFmt numFmtId="166" formatCode="_-* #,##0.00\ _€_-;\-* #,##0.00\ _€_-;_-* &quot;-&quot;??\ _€_-;_-@_-"/>
    <numFmt numFmtId="167" formatCode="0.0"/>
    <numFmt numFmtId="168" formatCode="&quot; &quot;#,##0.00&quot; &quot;[$€]&quot; &quot;;&quot;-&quot;#,##0.00&quot; &quot;[$€]&quot; &quot;;&quot; -&quot;00&quot; &quot;[$€]&quot; &quot;;&quot; &quot;@&quot; &quot;"/>
    <numFmt numFmtId="169" formatCode="#,##0.00;[Red]#,##0.00"/>
    <numFmt numFmtId="170" formatCode="_-[$$-300A]\ * #,##0.00_ ;_-[$$-300A]\ * \-#,##0.00\ ;_-[$$-300A]\ * &quot;-&quot;??_ ;_-@_ "/>
    <numFmt numFmtId="171" formatCode="_-* #,##0\ _€_-;\-* #,##0\ _€_-;_-* &quot;-&quot;??\ _€_-;_-@_-"/>
    <numFmt numFmtId="172" formatCode="_-* #,##0.0000\ _€_-;\-* #,##0.0000\ _€_-;_-* &quot;-&quot;??\ _€_-;_-@_-"/>
  </numFmts>
  <fonts count="27" x14ac:knownFonts="1">
    <font>
      <sz val="11"/>
      <color theme="1"/>
      <name val="Century Gothic"/>
      <family val="2"/>
      <scheme val="minor"/>
    </font>
    <font>
      <sz val="11"/>
      <color theme="1"/>
      <name val="Century Gothic"/>
      <family val="2"/>
      <scheme val="minor"/>
    </font>
    <font>
      <u/>
      <sz val="11"/>
      <color theme="10"/>
      <name val="Century Gothic"/>
      <family val="2"/>
      <scheme val="minor"/>
    </font>
    <font>
      <sz val="11"/>
      <color rgb="FF000000"/>
      <name val="Calibri"/>
      <family val="2"/>
    </font>
    <font>
      <u/>
      <sz val="11"/>
      <color rgb="FF0563C1"/>
      <name val="Calibri"/>
      <family val="2"/>
    </font>
    <font>
      <sz val="10"/>
      <name val="Arial"/>
      <family val="2"/>
    </font>
    <font>
      <sz val="9"/>
      <color indexed="81"/>
      <name val="Tahoma"/>
      <family val="2"/>
    </font>
    <font>
      <b/>
      <sz val="9"/>
      <color indexed="81"/>
      <name val="Tahoma"/>
      <family val="2"/>
    </font>
    <font>
      <sz val="12"/>
      <color theme="1"/>
      <name val="Arial"/>
      <family val="2"/>
    </font>
    <font>
      <b/>
      <sz val="12"/>
      <color theme="1"/>
      <name val="Arial"/>
      <family val="2"/>
    </font>
    <font>
      <b/>
      <sz val="12"/>
      <name val="Arial"/>
      <family val="2"/>
    </font>
    <font>
      <sz val="12"/>
      <name val="Arial"/>
      <family val="2"/>
    </font>
    <font>
      <sz val="12"/>
      <color rgb="FF000000"/>
      <name val="Arial"/>
      <family val="2"/>
    </font>
    <font>
      <sz val="12"/>
      <color theme="0"/>
      <name val="Arial"/>
      <family val="2"/>
    </font>
    <font>
      <b/>
      <sz val="11"/>
      <color theme="1"/>
      <name val="Century Gothic"/>
      <family val="2"/>
      <scheme val="minor"/>
    </font>
    <font>
      <vertAlign val="superscript"/>
      <sz val="12"/>
      <name val="Arial"/>
      <family val="2"/>
    </font>
    <font>
      <b/>
      <sz val="12"/>
      <color rgb="FF000000"/>
      <name val="Arial"/>
      <family val="2"/>
    </font>
    <font>
      <b/>
      <sz val="10"/>
      <color theme="1"/>
      <name val="Arial"/>
      <family val="2"/>
    </font>
    <font>
      <sz val="10"/>
      <color theme="1"/>
      <name val="Arial"/>
      <family val="2"/>
    </font>
    <font>
      <b/>
      <sz val="12"/>
      <color rgb="FF000000"/>
      <name val="Times New Roman"/>
      <family val="1"/>
    </font>
    <font>
      <sz val="12"/>
      <color theme="1"/>
      <name val="Times New Roman"/>
      <family val="1"/>
    </font>
    <font>
      <b/>
      <sz val="12"/>
      <color theme="1"/>
      <name val="Times New Roman"/>
      <family val="1"/>
    </font>
    <font>
      <sz val="11"/>
      <name val="Century Gothic"/>
      <family val="2"/>
      <scheme val="minor"/>
    </font>
    <font>
      <u/>
      <sz val="12"/>
      <color theme="1"/>
      <name val="Times New Roman"/>
      <family val="1"/>
    </font>
    <font>
      <b/>
      <u/>
      <sz val="12"/>
      <color theme="1"/>
      <name val="Times New Roman"/>
      <family val="1"/>
    </font>
    <font>
      <u val="double"/>
      <sz val="12"/>
      <color theme="1"/>
      <name val="Times New Roman"/>
      <family val="1"/>
    </font>
    <font>
      <b/>
      <vertAlign val="superscript"/>
      <sz val="12"/>
      <color theme="1"/>
      <name val="Arial"/>
      <family val="2"/>
    </font>
  </fonts>
  <fills count="15">
    <fill>
      <patternFill patternType="none"/>
    </fill>
    <fill>
      <patternFill patternType="gray125"/>
    </fill>
    <fill>
      <patternFill patternType="solid">
        <fgColor theme="5" tint="0.39997558519241921"/>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6"/>
        <bgColor indexed="64"/>
      </patternFill>
    </fill>
    <fill>
      <patternFill patternType="solid">
        <fgColor rgb="FFCCFFCC"/>
        <bgColor indexed="64"/>
      </patternFill>
    </fill>
    <fill>
      <patternFill patternType="solid">
        <fgColor rgb="FFFFE7F9"/>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1"/>
      </left>
      <right style="thin">
        <color theme="1"/>
      </right>
      <top style="thin">
        <color theme="1"/>
      </top>
      <bottom style="thin">
        <color theme="1"/>
      </bottom>
      <diagonal/>
    </border>
    <border>
      <left/>
      <right style="thin">
        <color theme="1"/>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1"/>
      </left>
      <right style="thin">
        <color theme="1"/>
      </right>
      <top/>
      <bottom style="thin">
        <color theme="1"/>
      </bottom>
      <diagonal/>
    </border>
    <border>
      <left style="medium">
        <color indexed="64"/>
      </left>
      <right style="thin">
        <color theme="1"/>
      </right>
      <top style="medium">
        <color indexed="64"/>
      </top>
      <bottom style="medium">
        <color indexed="64"/>
      </bottom>
      <diagonal/>
    </border>
    <border>
      <left style="thin">
        <color theme="1"/>
      </left>
      <right style="thin">
        <color theme="1"/>
      </right>
      <top style="medium">
        <color indexed="64"/>
      </top>
      <bottom style="medium">
        <color indexed="64"/>
      </bottom>
      <diagonal/>
    </border>
    <border>
      <left style="thin">
        <color theme="1"/>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thin">
        <color indexed="64"/>
      </left>
      <right style="medium">
        <color indexed="64"/>
      </right>
      <top style="thin">
        <color indexed="64"/>
      </top>
      <bottom/>
      <diagonal/>
    </border>
    <border>
      <left/>
      <right style="thin">
        <color theme="1"/>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s>
  <cellStyleXfs count="10">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168" fontId="3" fillId="0" borderId="0" applyFont="0" applyFill="0" applyBorder="0" applyAlignment="0" applyProtection="0"/>
    <xf numFmtId="0" fontId="4" fillId="0" borderId="0" applyNumberFormat="0" applyFill="0" applyBorder="0" applyAlignment="0" applyProtection="0"/>
    <xf numFmtId="0" fontId="5" fillId="0" borderId="0"/>
    <xf numFmtId="166"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cellStyleXfs>
  <cellXfs count="625">
    <xf numFmtId="0" fontId="0" fillId="0" borderId="0" xfId="0"/>
    <xf numFmtId="0" fontId="8" fillId="0" borderId="0" xfId="0" applyFont="1" applyAlignment="1">
      <alignment vertical="center"/>
    </xf>
    <xf numFmtId="0" fontId="8" fillId="0" borderId="0" xfId="0" applyFont="1" applyAlignment="1">
      <alignment horizontal="center" vertical="center"/>
    </xf>
    <xf numFmtId="170" fontId="8" fillId="0" borderId="0" xfId="7" applyNumberFormat="1" applyFont="1" applyAlignment="1">
      <alignment vertical="center"/>
    </xf>
    <xf numFmtId="0" fontId="8" fillId="0" borderId="0" xfId="0" applyFont="1"/>
    <xf numFmtId="0" fontId="9" fillId="9" borderId="1" xfId="0" applyFont="1" applyFill="1" applyBorder="1" applyAlignment="1">
      <alignment horizontal="center" vertical="center"/>
    </xf>
    <xf numFmtId="170" fontId="9" fillId="9" borderId="1" xfId="7" applyNumberFormat="1" applyFont="1" applyFill="1" applyBorder="1" applyAlignment="1">
      <alignment horizontal="center" vertical="center" wrapText="1"/>
    </xf>
    <xf numFmtId="170" fontId="10" fillId="11" borderId="1" xfId="7" applyNumberFormat="1" applyFont="1" applyFill="1" applyBorder="1" applyAlignment="1">
      <alignment vertical="center"/>
    </xf>
    <xf numFmtId="0" fontId="11" fillId="11" borderId="1" xfId="0" applyFont="1" applyFill="1" applyBorder="1" applyAlignment="1">
      <alignment vertical="center" wrapText="1"/>
    </xf>
    <xf numFmtId="1" fontId="11" fillId="11" borderId="1" xfId="0" applyNumberFormat="1" applyFont="1" applyFill="1" applyBorder="1" applyAlignment="1">
      <alignment horizontal="center" vertical="center"/>
    </xf>
    <xf numFmtId="170" fontId="11" fillId="11" borderId="1" xfId="7" applyNumberFormat="1" applyFont="1" applyFill="1" applyBorder="1" applyAlignment="1">
      <alignment vertical="center"/>
    </xf>
    <xf numFmtId="170" fontId="10" fillId="9" borderId="1" xfId="7" applyNumberFormat="1" applyFont="1" applyFill="1" applyBorder="1" applyAlignment="1">
      <alignment vertical="center"/>
    </xf>
    <xf numFmtId="0" fontId="8" fillId="3" borderId="0" xfId="0" applyFont="1" applyFill="1"/>
    <xf numFmtId="0" fontId="11" fillId="11" borderId="1" xfId="0" applyFont="1" applyFill="1" applyBorder="1" applyAlignment="1">
      <alignment vertical="center"/>
    </xf>
    <xf numFmtId="170" fontId="10" fillId="9" borderId="15" xfId="7" applyNumberFormat="1" applyFont="1" applyFill="1" applyBorder="1" applyAlignment="1">
      <alignment vertical="center"/>
    </xf>
    <xf numFmtId="0" fontId="8" fillId="11" borderId="1" xfId="0" applyFont="1" applyFill="1" applyBorder="1" applyAlignment="1">
      <alignment horizontal="center" vertical="center"/>
    </xf>
    <xf numFmtId="0" fontId="11" fillId="11" borderId="1" xfId="0" applyFont="1" applyFill="1" applyBorder="1" applyAlignment="1">
      <alignment horizontal="left" vertical="center" wrapText="1"/>
    </xf>
    <xf numFmtId="0" fontId="11" fillId="11" borderId="1" xfId="0" applyFont="1" applyFill="1" applyBorder="1" applyAlignment="1">
      <alignment horizontal="center" vertical="center"/>
    </xf>
    <xf numFmtId="170" fontId="11" fillId="11" borderId="1" xfId="7" applyNumberFormat="1" applyFont="1" applyFill="1" applyBorder="1" applyAlignment="1">
      <alignment horizontal="left" vertical="center"/>
    </xf>
    <xf numFmtId="170" fontId="10" fillId="9" borderId="1" xfId="7" applyNumberFormat="1" applyFont="1" applyFill="1" applyBorder="1" applyAlignment="1">
      <alignment horizontal="right" vertical="center"/>
    </xf>
    <xf numFmtId="0" fontId="10" fillId="2" borderId="1" xfId="0" applyFont="1" applyFill="1" applyBorder="1" applyAlignment="1">
      <alignment horizontal="center" vertical="center"/>
    </xf>
    <xf numFmtId="0" fontId="9" fillId="6" borderId="1" xfId="0" applyFont="1" applyFill="1" applyBorder="1" applyAlignment="1">
      <alignment horizontal="center" vertical="center"/>
    </xf>
    <xf numFmtId="170" fontId="9" fillId="6" borderId="1" xfId="7" applyNumberFormat="1" applyFont="1" applyFill="1" applyBorder="1" applyAlignment="1">
      <alignment horizontal="center" vertical="center"/>
    </xf>
    <xf numFmtId="0" fontId="9" fillId="5" borderId="1" xfId="0" applyFont="1" applyFill="1" applyBorder="1" applyAlignment="1">
      <alignment vertical="center"/>
    </xf>
    <xf numFmtId="170" fontId="8" fillId="5" borderId="1" xfId="7" applyNumberFormat="1" applyFont="1" applyFill="1" applyBorder="1" applyAlignment="1">
      <alignment vertical="center"/>
    </xf>
    <xf numFmtId="0" fontId="8" fillId="5" borderId="1" xfId="0" applyFont="1" applyFill="1" applyBorder="1" applyAlignment="1">
      <alignment vertical="center"/>
    </xf>
    <xf numFmtId="0" fontId="9" fillId="6" borderId="1" xfId="0" applyFont="1" applyFill="1" applyBorder="1" applyAlignment="1">
      <alignment vertical="center"/>
    </xf>
    <xf numFmtId="170" fontId="9" fillId="6" borderId="1" xfId="7" applyNumberFormat="1" applyFont="1" applyFill="1" applyBorder="1" applyAlignment="1">
      <alignment vertical="center"/>
    </xf>
    <xf numFmtId="170" fontId="9" fillId="5" borderId="1" xfId="7" applyNumberFormat="1" applyFont="1" applyFill="1" applyBorder="1" applyAlignment="1">
      <alignment vertical="center"/>
    </xf>
    <xf numFmtId="170" fontId="8" fillId="5" borderId="1" xfId="7" applyNumberFormat="1" applyFont="1" applyFill="1" applyBorder="1" applyAlignment="1">
      <alignment horizontal="center" vertical="center"/>
    </xf>
    <xf numFmtId="0" fontId="9" fillId="10" borderId="1" xfId="0" applyFont="1" applyFill="1" applyBorder="1" applyAlignment="1">
      <alignment horizontal="center" vertical="center" wrapText="1"/>
    </xf>
    <xf numFmtId="170" fontId="8" fillId="4" borderId="1" xfId="7" applyNumberFormat="1" applyFont="1" applyFill="1" applyBorder="1"/>
    <xf numFmtId="0" fontId="8" fillId="4" borderId="1" xfId="0" applyFont="1" applyFill="1" applyBorder="1"/>
    <xf numFmtId="170" fontId="8" fillId="10" borderId="1" xfId="7" applyNumberFormat="1" applyFont="1" applyFill="1" applyBorder="1"/>
    <xf numFmtId="0" fontId="8" fillId="0" borderId="0" xfId="0" applyFont="1" applyAlignment="1">
      <alignment horizontal="center"/>
    </xf>
    <xf numFmtId="0" fontId="9" fillId="10" borderId="1" xfId="0" applyFont="1" applyFill="1" applyBorder="1" applyAlignment="1">
      <alignment horizontal="center" vertical="center"/>
    </xf>
    <xf numFmtId="0" fontId="8" fillId="4" borderId="1" xfId="0" applyFont="1" applyFill="1" applyBorder="1" applyAlignment="1">
      <alignment horizontal="center" vertical="center"/>
    </xf>
    <xf numFmtId="170" fontId="8" fillId="4" borderId="1" xfId="7" applyNumberFormat="1" applyFont="1" applyFill="1" applyBorder="1" applyAlignment="1">
      <alignment horizontal="center" vertical="center"/>
    </xf>
    <xf numFmtId="1" fontId="8" fillId="0" borderId="0" xfId="0" applyNumberFormat="1" applyFont="1" applyBorder="1"/>
    <xf numFmtId="2" fontId="8" fillId="11" borderId="1" xfId="0" applyNumberFormat="1" applyFont="1" applyFill="1" applyBorder="1"/>
    <xf numFmtId="0" fontId="9" fillId="9" borderId="11" xfId="0" applyFont="1" applyFill="1" applyBorder="1" applyAlignment="1">
      <alignment horizontal="center" vertical="center"/>
    </xf>
    <xf numFmtId="170" fontId="8" fillId="11" borderId="1" xfId="7" applyNumberFormat="1" applyFont="1" applyFill="1" applyBorder="1" applyAlignment="1">
      <alignment horizontal="center" vertical="center" wrapText="1"/>
    </xf>
    <xf numFmtId="0" fontId="8" fillId="11" borderId="1" xfId="0" applyFont="1" applyFill="1" applyBorder="1"/>
    <xf numFmtId="0" fontId="8" fillId="11" borderId="1" xfId="0" applyFont="1" applyFill="1" applyBorder="1" applyAlignment="1">
      <alignment vertical="center" wrapText="1"/>
    </xf>
    <xf numFmtId="170" fontId="8" fillId="11" borderId="12" xfId="7" applyNumberFormat="1" applyFont="1" applyFill="1" applyBorder="1"/>
    <xf numFmtId="0" fontId="8" fillId="11" borderId="1" xfId="0" applyFont="1" applyFill="1" applyBorder="1" applyAlignment="1">
      <alignment horizontal="center" vertical="center" wrapText="1"/>
    </xf>
    <xf numFmtId="167" fontId="8" fillId="11" borderId="1" xfId="0" applyNumberFormat="1" applyFont="1" applyFill="1" applyBorder="1" applyAlignment="1">
      <alignment horizontal="right" vertical="center"/>
    </xf>
    <xf numFmtId="170" fontId="8" fillId="11" borderId="1" xfId="7" applyNumberFormat="1" applyFont="1" applyFill="1" applyBorder="1" applyAlignment="1">
      <alignment vertical="center"/>
    </xf>
    <xf numFmtId="0" fontId="8" fillId="11" borderId="1" xfId="0" applyFont="1" applyFill="1" applyBorder="1" applyAlignment="1">
      <alignment horizontal="right" vertical="center" wrapText="1"/>
    </xf>
    <xf numFmtId="167" fontId="8" fillId="11" borderId="1" xfId="0" applyNumberFormat="1" applyFont="1" applyFill="1" applyBorder="1" applyAlignment="1">
      <alignment horizontal="center" vertical="center" wrapText="1"/>
    </xf>
    <xf numFmtId="0" fontId="8" fillId="11" borderId="1" xfId="0" applyFont="1" applyFill="1" applyBorder="1" applyAlignment="1">
      <alignment horizontal="right" vertical="center"/>
    </xf>
    <xf numFmtId="0" fontId="9" fillId="9" borderId="13" xfId="0" applyFont="1" applyFill="1" applyBorder="1" applyAlignment="1">
      <alignment horizontal="center" vertical="center"/>
    </xf>
    <xf numFmtId="0" fontId="8" fillId="11" borderId="8" xfId="0" applyFont="1" applyFill="1" applyBorder="1" applyAlignment="1">
      <alignment horizontal="center" vertical="center" wrapText="1"/>
    </xf>
    <xf numFmtId="0" fontId="8" fillId="11" borderId="8" xfId="0" applyFont="1" applyFill="1" applyBorder="1" applyAlignment="1">
      <alignment horizontal="right" vertical="center"/>
    </xf>
    <xf numFmtId="170" fontId="8" fillId="11" borderId="8" xfId="7" applyNumberFormat="1" applyFont="1" applyFill="1" applyBorder="1" applyAlignment="1">
      <alignment vertical="center"/>
    </xf>
    <xf numFmtId="0" fontId="8" fillId="11" borderId="8" xfId="0" applyFont="1" applyFill="1" applyBorder="1" applyAlignment="1">
      <alignment horizontal="right" vertical="center" wrapText="1"/>
    </xf>
    <xf numFmtId="170" fontId="8" fillId="11" borderId="9" xfId="7" applyNumberFormat="1" applyFont="1" applyFill="1" applyBorder="1"/>
    <xf numFmtId="0" fontId="9" fillId="9" borderId="10" xfId="0" applyFont="1" applyFill="1" applyBorder="1" applyAlignment="1">
      <alignment horizontal="center" vertical="center" wrapText="1"/>
    </xf>
    <xf numFmtId="0" fontId="9" fillId="9" borderId="5" xfId="0" applyFont="1" applyFill="1" applyBorder="1" applyAlignment="1">
      <alignment horizontal="center" vertical="center" wrapText="1"/>
    </xf>
    <xf numFmtId="0" fontId="9" fillId="9" borderId="6" xfId="0" applyFont="1" applyFill="1" applyBorder="1" applyAlignment="1">
      <alignment horizontal="center" vertical="center" wrapText="1"/>
    </xf>
    <xf numFmtId="0" fontId="8" fillId="0" borderId="0" xfId="0" applyFont="1" applyAlignment="1">
      <alignment wrapText="1"/>
    </xf>
    <xf numFmtId="0" fontId="8" fillId="0" borderId="0" xfId="0" applyFont="1" applyAlignment="1">
      <alignment horizontal="center"/>
    </xf>
    <xf numFmtId="0" fontId="8" fillId="0" borderId="32" xfId="0" applyFont="1" applyBorder="1" applyAlignment="1">
      <alignment horizontal="center"/>
    </xf>
    <xf numFmtId="0" fontId="8" fillId="11" borderId="1" xfId="0" applyFont="1" applyFill="1" applyBorder="1" applyAlignment="1">
      <alignment vertical="center"/>
    </xf>
    <xf numFmtId="170" fontId="9" fillId="9" borderId="1" xfId="7" applyNumberFormat="1" applyFont="1" applyFill="1" applyBorder="1" applyAlignment="1">
      <alignment vertical="center"/>
    </xf>
    <xf numFmtId="0" fontId="9" fillId="9" borderId="10" xfId="0" applyFont="1" applyFill="1" applyBorder="1" applyAlignment="1">
      <alignment horizontal="center" vertical="center" wrapText="1"/>
    </xf>
    <xf numFmtId="0" fontId="9" fillId="9" borderId="5" xfId="0" applyFont="1" applyFill="1" applyBorder="1" applyAlignment="1">
      <alignment horizontal="center" vertical="center" wrapText="1"/>
    </xf>
    <xf numFmtId="0" fontId="9" fillId="9" borderId="12" xfId="0" applyFont="1" applyFill="1" applyBorder="1" applyAlignment="1">
      <alignment horizontal="center" vertical="center"/>
    </xf>
    <xf numFmtId="0" fontId="8" fillId="11" borderId="11" xfId="0" applyFont="1" applyFill="1" applyBorder="1" applyAlignment="1">
      <alignment wrapText="1"/>
    </xf>
    <xf numFmtId="9" fontId="8" fillId="11" borderId="1" xfId="0" applyNumberFormat="1" applyFont="1" applyFill="1" applyBorder="1"/>
    <xf numFmtId="2" fontId="8" fillId="11" borderId="12" xfId="0" applyNumberFormat="1" applyFont="1" applyFill="1" applyBorder="1"/>
    <xf numFmtId="0" fontId="9" fillId="9" borderId="13" xfId="0" applyFont="1" applyFill="1" applyBorder="1"/>
    <xf numFmtId="0" fontId="9" fillId="9" borderId="8" xfId="0" applyFont="1" applyFill="1" applyBorder="1"/>
    <xf numFmtId="2" fontId="9" fillId="9" borderId="8" xfId="0" applyNumberFormat="1" applyFont="1" applyFill="1" applyBorder="1"/>
    <xf numFmtId="0" fontId="10" fillId="2" borderId="1" xfId="0" applyFont="1" applyFill="1" applyBorder="1" applyAlignment="1">
      <alignment horizontal="center" vertical="center" wrapText="1"/>
    </xf>
    <xf numFmtId="0" fontId="8" fillId="11" borderId="14" xfId="0" applyFont="1" applyFill="1" applyBorder="1" applyAlignment="1">
      <alignment vertical="center" wrapText="1"/>
    </xf>
    <xf numFmtId="0" fontId="8" fillId="11" borderId="14" xfId="0" applyFont="1" applyFill="1" applyBorder="1" applyAlignment="1">
      <alignment horizontal="left" vertical="center" wrapText="1"/>
    </xf>
    <xf numFmtId="0" fontId="8" fillId="11" borderId="3"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9" borderId="3" xfId="0" applyFont="1" applyFill="1" applyBorder="1" applyAlignment="1">
      <alignment horizontal="center" vertical="center" wrapText="1"/>
    </xf>
    <xf numFmtId="0" fontId="8" fillId="11" borderId="1" xfId="0" applyFont="1" applyFill="1" applyBorder="1" applyAlignment="1">
      <alignment horizontal="center" vertical="center" wrapText="1"/>
    </xf>
    <xf numFmtId="10" fontId="8" fillId="11" borderId="40" xfId="1" applyNumberFormat="1" applyFont="1" applyFill="1" applyBorder="1" applyAlignment="1">
      <alignment horizontal="right" vertical="center"/>
    </xf>
    <xf numFmtId="2" fontId="9" fillId="0" borderId="0" xfId="0" applyNumberFormat="1" applyFont="1" applyBorder="1" applyAlignment="1">
      <alignment horizontal="right" vertical="center"/>
    </xf>
    <xf numFmtId="170" fontId="8" fillId="11" borderId="27" xfId="7" applyNumberFormat="1" applyFont="1" applyFill="1" applyBorder="1" applyAlignment="1">
      <alignment horizontal="right" vertical="center"/>
    </xf>
    <xf numFmtId="170" fontId="8" fillId="11" borderId="1" xfId="7" applyNumberFormat="1" applyFont="1" applyFill="1" applyBorder="1" applyAlignment="1">
      <alignment horizontal="center" vertical="center"/>
    </xf>
    <xf numFmtId="0" fontId="9" fillId="9" borderId="1" xfId="0" applyFont="1" applyFill="1" applyBorder="1" applyAlignment="1">
      <alignment vertical="center"/>
    </xf>
    <xf numFmtId="170" fontId="9" fillId="9" borderId="1" xfId="7" applyNumberFormat="1" applyFont="1" applyFill="1" applyBorder="1" applyAlignment="1">
      <alignment horizontal="center" vertical="center"/>
    </xf>
    <xf numFmtId="2" fontId="8" fillId="0" borderId="0" xfId="0" applyNumberFormat="1" applyFont="1" applyAlignment="1">
      <alignment vertical="center"/>
    </xf>
    <xf numFmtId="170" fontId="8" fillId="0" borderId="0" xfId="0" applyNumberFormat="1" applyFont="1" applyAlignment="1">
      <alignment vertical="center"/>
    </xf>
    <xf numFmtId="0" fontId="9" fillId="0" borderId="0" xfId="0" applyFont="1" applyAlignment="1">
      <alignment vertical="center"/>
    </xf>
    <xf numFmtId="169" fontId="8" fillId="0" borderId="0" xfId="0" applyNumberFormat="1" applyFont="1" applyAlignment="1">
      <alignment vertical="center"/>
    </xf>
    <xf numFmtId="170" fontId="8" fillId="11" borderId="1" xfId="7" applyNumberFormat="1" applyFont="1" applyFill="1" applyBorder="1" applyAlignment="1">
      <alignment vertical="center"/>
    </xf>
    <xf numFmtId="0" fontId="8" fillId="11" borderId="2" xfId="0" applyFont="1" applyFill="1" applyBorder="1" applyAlignment="1">
      <alignment horizontal="center" vertical="center"/>
    </xf>
    <xf numFmtId="0" fontId="9" fillId="0" borderId="0" xfId="0" applyFont="1" applyFill="1" applyBorder="1" applyAlignment="1">
      <alignment horizontal="center" vertical="center" wrapText="1"/>
    </xf>
    <xf numFmtId="2" fontId="9" fillId="0" borderId="0" xfId="0" applyNumberFormat="1" applyFont="1" applyFill="1" applyBorder="1" applyAlignment="1">
      <alignment horizontal="center" vertical="center"/>
    </xf>
    <xf numFmtId="0" fontId="8" fillId="0" borderId="0" xfId="0" applyFont="1" applyFill="1" applyAlignment="1">
      <alignment vertical="center"/>
    </xf>
    <xf numFmtId="10" fontId="8" fillId="0" borderId="0" xfId="0" applyNumberFormat="1" applyFont="1" applyBorder="1" applyAlignment="1">
      <alignment vertical="center"/>
    </xf>
    <xf numFmtId="0" fontId="8" fillId="0" borderId="0" xfId="0" applyFont="1" applyBorder="1" applyAlignment="1">
      <alignment vertical="center"/>
    </xf>
    <xf numFmtId="2" fontId="8" fillId="11" borderId="1" xfId="0" applyNumberFormat="1" applyFont="1" applyFill="1" applyBorder="1" applyAlignment="1">
      <alignment vertical="center"/>
    </xf>
    <xf numFmtId="166" fontId="8" fillId="11" borderId="1" xfId="7" applyFont="1" applyFill="1" applyBorder="1" applyAlignment="1">
      <alignment vertical="center"/>
    </xf>
    <xf numFmtId="166" fontId="8" fillId="0" borderId="0" xfId="7" applyFont="1" applyAlignment="1">
      <alignment vertical="center"/>
    </xf>
    <xf numFmtId="0" fontId="9" fillId="9" borderId="1" xfId="0" applyFont="1" applyFill="1" applyBorder="1" applyAlignment="1">
      <alignment horizontal="center"/>
    </xf>
    <xf numFmtId="170" fontId="9" fillId="9" borderId="1" xfId="7" applyNumberFormat="1" applyFont="1" applyFill="1" applyBorder="1" applyAlignment="1">
      <alignment horizontal="center"/>
    </xf>
    <xf numFmtId="0" fontId="8" fillId="11" borderId="1" xfId="0" applyFont="1" applyFill="1" applyBorder="1" applyAlignment="1">
      <alignment wrapText="1"/>
    </xf>
    <xf numFmtId="170" fontId="8" fillId="0" borderId="0" xfId="7" applyNumberFormat="1" applyFont="1"/>
    <xf numFmtId="0" fontId="8" fillId="0" borderId="0" xfId="0" applyFont="1" applyFill="1" applyBorder="1" applyAlignment="1">
      <alignment vertical="center"/>
    </xf>
    <xf numFmtId="0" fontId="9" fillId="11" borderId="1" xfId="0" applyFont="1" applyFill="1" applyBorder="1" applyAlignment="1">
      <alignment vertical="center"/>
    </xf>
    <xf numFmtId="0" fontId="9" fillId="9" borderId="1" xfId="0" applyFont="1" applyFill="1" applyBorder="1" applyAlignment="1">
      <alignment vertical="center" wrapText="1"/>
    </xf>
    <xf numFmtId="0" fontId="9" fillId="0" borderId="0" xfId="0" applyFont="1" applyBorder="1" applyAlignment="1">
      <alignment horizontal="center" vertical="center"/>
    </xf>
    <xf numFmtId="170" fontId="9" fillId="0" borderId="0" xfId="7" applyNumberFormat="1" applyFont="1" applyBorder="1" applyAlignment="1">
      <alignment horizontal="center" vertical="center"/>
    </xf>
    <xf numFmtId="0" fontId="9" fillId="11" borderId="1" xfId="0" applyFont="1" applyFill="1" applyBorder="1" applyAlignment="1">
      <alignment horizontal="center" vertical="center"/>
    </xf>
    <xf numFmtId="170" fontId="9" fillId="9" borderId="1" xfId="7" applyNumberFormat="1" applyFont="1" applyFill="1" applyBorder="1" applyAlignment="1">
      <alignment horizontal="center" vertical="center"/>
    </xf>
    <xf numFmtId="0" fontId="8" fillId="9" borderId="1" xfId="0" applyFont="1" applyFill="1" applyBorder="1" applyAlignment="1">
      <alignment horizontal="center" vertical="center"/>
    </xf>
    <xf numFmtId="0" fontId="9" fillId="4" borderId="1" xfId="0" applyFont="1" applyFill="1" applyBorder="1" applyAlignment="1">
      <alignment vertical="center"/>
    </xf>
    <xf numFmtId="2" fontId="9" fillId="4"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xf>
    <xf numFmtId="0" fontId="9" fillId="4" borderId="1" xfId="0" applyFont="1" applyFill="1" applyBorder="1" applyAlignment="1">
      <alignment horizontal="right" vertical="center"/>
    </xf>
    <xf numFmtId="0" fontId="8" fillId="4" borderId="1" xfId="0" applyFont="1" applyFill="1" applyBorder="1" applyAlignment="1">
      <alignment vertical="center"/>
    </xf>
    <xf numFmtId="0" fontId="8" fillId="4" borderId="1" xfId="0" applyFont="1" applyFill="1" applyBorder="1" applyAlignment="1">
      <alignment horizontal="left" vertical="center"/>
    </xf>
    <xf numFmtId="0" fontId="9" fillId="10" borderId="1" xfId="0" applyFont="1" applyFill="1" applyBorder="1" applyAlignment="1">
      <alignment vertical="center"/>
    </xf>
    <xf numFmtId="0" fontId="8" fillId="10" borderId="1" xfId="0" applyFont="1" applyFill="1" applyBorder="1" applyAlignment="1">
      <alignment horizontal="center" vertical="center"/>
    </xf>
    <xf numFmtId="0" fontId="8" fillId="10" borderId="1" xfId="0" applyFont="1" applyFill="1" applyBorder="1" applyAlignment="1">
      <alignment vertical="center"/>
    </xf>
    <xf numFmtId="0" fontId="12" fillId="4" borderId="1" xfId="0" applyFont="1" applyFill="1" applyBorder="1" applyAlignment="1">
      <alignment vertical="center" wrapText="1"/>
    </xf>
    <xf numFmtId="0" fontId="12" fillId="4" borderId="1" xfId="0" applyFont="1" applyFill="1" applyBorder="1" applyAlignment="1">
      <alignment vertical="center"/>
    </xf>
    <xf numFmtId="0" fontId="12" fillId="10" borderId="1" xfId="0" applyFont="1" applyFill="1" applyBorder="1" applyAlignment="1">
      <alignment vertical="center"/>
    </xf>
    <xf numFmtId="170" fontId="8" fillId="4" borderId="1" xfId="7" applyNumberFormat="1" applyFont="1" applyFill="1" applyBorder="1" applyAlignment="1">
      <alignment vertical="center"/>
    </xf>
    <xf numFmtId="170" fontId="9" fillId="10" borderId="1" xfId="7" applyNumberFormat="1" applyFont="1" applyFill="1" applyBorder="1" applyAlignment="1">
      <alignment vertical="center"/>
    </xf>
    <xf numFmtId="0" fontId="9" fillId="10" borderId="1" xfId="7" applyNumberFormat="1" applyFont="1" applyFill="1" applyBorder="1" applyAlignment="1">
      <alignment horizontal="center"/>
    </xf>
    <xf numFmtId="0" fontId="9" fillId="10" borderId="1" xfId="0" applyFont="1" applyFill="1" applyBorder="1"/>
    <xf numFmtId="170" fontId="9" fillId="10" borderId="1" xfId="7" applyNumberFormat="1" applyFont="1" applyFill="1" applyBorder="1"/>
    <xf numFmtId="0" fontId="9" fillId="6" borderId="1" xfId="0" applyFont="1" applyFill="1" applyBorder="1" applyAlignment="1">
      <alignment horizontal="center" vertical="center"/>
    </xf>
    <xf numFmtId="9" fontId="8" fillId="5" borderId="1" xfId="0" applyNumberFormat="1" applyFont="1" applyFill="1" applyBorder="1" applyAlignment="1">
      <alignment vertical="center"/>
    </xf>
    <xf numFmtId="0" fontId="8" fillId="0" borderId="0" xfId="0" applyFont="1" applyAlignment="1"/>
    <xf numFmtId="0" fontId="8" fillId="5" borderId="1" xfId="0" applyFont="1" applyFill="1" applyBorder="1" applyAlignment="1">
      <alignment horizontal="center" vertical="center"/>
    </xf>
    <xf numFmtId="0" fontId="9" fillId="5" borderId="1" xfId="0" applyFont="1" applyFill="1" applyBorder="1" applyAlignment="1">
      <alignment horizontal="center" vertical="center"/>
    </xf>
    <xf numFmtId="0" fontId="8" fillId="5" borderId="2" xfId="0" applyFont="1" applyFill="1" applyBorder="1" applyAlignment="1">
      <alignment vertical="center" wrapText="1"/>
    </xf>
    <xf numFmtId="0" fontId="8" fillId="5" borderId="23" xfId="0" applyFont="1" applyFill="1" applyBorder="1" applyAlignment="1">
      <alignment vertical="center" wrapText="1"/>
    </xf>
    <xf numFmtId="0" fontId="8" fillId="5" borderId="3" xfId="0" applyFont="1" applyFill="1" applyBorder="1" applyAlignment="1">
      <alignment vertical="center" wrapText="1"/>
    </xf>
    <xf numFmtId="165" fontId="8" fillId="0" borderId="0" xfId="0" applyNumberFormat="1" applyFont="1" applyAlignment="1">
      <alignment vertical="center"/>
    </xf>
    <xf numFmtId="0" fontId="9" fillId="6" borderId="1" xfId="0" applyFont="1" applyFill="1" applyBorder="1" applyAlignment="1">
      <alignment horizontal="center" vertical="center" wrapText="1"/>
    </xf>
    <xf numFmtId="0" fontId="8" fillId="0" borderId="0" xfId="0" applyFont="1" applyAlignment="1">
      <alignment horizontal="center" vertical="center"/>
    </xf>
    <xf numFmtId="0" fontId="9" fillId="0" borderId="0" xfId="0" applyFont="1" applyFill="1" applyAlignment="1">
      <alignment vertical="center"/>
    </xf>
    <xf numFmtId="170" fontId="8" fillId="0" borderId="0" xfId="7" applyNumberFormat="1" applyFont="1" applyFill="1" applyAlignment="1">
      <alignment vertical="center"/>
    </xf>
    <xf numFmtId="170" fontId="9" fillId="0" borderId="0" xfId="7" applyNumberFormat="1" applyFont="1" applyFill="1" applyAlignment="1">
      <alignment vertical="center"/>
    </xf>
    <xf numFmtId="170" fontId="8" fillId="0" borderId="22" xfId="7" applyNumberFormat="1" applyFont="1" applyBorder="1" applyAlignment="1">
      <alignment vertical="center"/>
    </xf>
    <xf numFmtId="170" fontId="8" fillId="0" borderId="0" xfId="7" applyNumberFormat="1" applyFont="1" applyBorder="1" applyAlignment="1">
      <alignment vertical="center"/>
    </xf>
    <xf numFmtId="170" fontId="13" fillId="0" borderId="0" xfId="7" applyNumberFormat="1" applyFont="1" applyFill="1" applyAlignment="1">
      <alignment vertical="center"/>
    </xf>
    <xf numFmtId="170" fontId="9" fillId="0" borderId="44" xfId="7" applyNumberFormat="1" applyFont="1" applyFill="1" applyBorder="1" applyAlignment="1">
      <alignment vertical="center"/>
    </xf>
    <xf numFmtId="2" fontId="8" fillId="0" borderId="0" xfId="0" applyNumberFormat="1" applyFont="1" applyFill="1" applyAlignment="1">
      <alignment vertical="center"/>
    </xf>
    <xf numFmtId="0" fontId="9" fillId="6" borderId="2" xfId="0" applyFont="1" applyFill="1" applyBorder="1" applyAlignment="1">
      <alignment horizontal="center" vertical="center"/>
    </xf>
    <xf numFmtId="0" fontId="9" fillId="6" borderId="1" xfId="0" applyFont="1" applyFill="1" applyBorder="1" applyAlignment="1">
      <alignment horizontal="left" vertical="center"/>
    </xf>
    <xf numFmtId="0" fontId="8" fillId="5" borderId="1" xfId="0" applyFont="1" applyFill="1" applyBorder="1" applyAlignment="1">
      <alignment horizontal="left" vertical="center"/>
    </xf>
    <xf numFmtId="44" fontId="11" fillId="11" borderId="1" xfId="8" applyFont="1" applyFill="1" applyBorder="1" applyAlignment="1">
      <alignment vertical="center"/>
    </xf>
    <xf numFmtId="166" fontId="8" fillId="0" borderId="0" xfId="7" applyFont="1"/>
    <xf numFmtId="0" fontId="9" fillId="9" borderId="2" xfId="0" applyFont="1" applyFill="1" applyBorder="1" applyAlignment="1">
      <alignment horizontal="center" vertical="center" wrapText="1"/>
    </xf>
    <xf numFmtId="0" fontId="9" fillId="9" borderId="48" xfId="0" applyFont="1" applyFill="1" applyBorder="1" applyAlignment="1">
      <alignment horizontal="center" vertical="center" wrapText="1"/>
    </xf>
    <xf numFmtId="0" fontId="8" fillId="9" borderId="1" xfId="0" applyFont="1" applyFill="1" applyBorder="1" applyAlignment="1">
      <alignment horizontal="left" vertical="center" wrapText="1"/>
    </xf>
    <xf numFmtId="10" fontId="11" fillId="11" borderId="1" xfId="1" applyNumberFormat="1" applyFont="1" applyFill="1" applyBorder="1" applyAlignment="1">
      <alignment horizontal="center" vertical="center"/>
    </xf>
    <xf numFmtId="2" fontId="8" fillId="11" borderId="1" xfId="0" applyNumberFormat="1" applyFont="1" applyFill="1" applyBorder="1" applyAlignment="1">
      <alignment vertical="center" wrapText="1"/>
    </xf>
    <xf numFmtId="10" fontId="11" fillId="11" borderId="3" xfId="1" applyNumberFormat="1" applyFont="1" applyFill="1" applyBorder="1" applyAlignment="1">
      <alignment horizontal="center" vertical="center"/>
    </xf>
    <xf numFmtId="170" fontId="11" fillId="11" borderId="3" xfId="7" applyNumberFormat="1" applyFont="1" applyFill="1" applyBorder="1" applyAlignment="1">
      <alignment vertical="center"/>
    </xf>
    <xf numFmtId="2" fontId="8" fillId="11" borderId="2" xfId="0" applyNumberFormat="1" applyFont="1" applyFill="1" applyBorder="1" applyAlignment="1">
      <alignment vertical="center" wrapText="1"/>
    </xf>
    <xf numFmtId="170" fontId="11" fillId="11" borderId="2" xfId="7" applyNumberFormat="1" applyFont="1" applyFill="1" applyBorder="1" applyAlignment="1">
      <alignment vertical="center"/>
    </xf>
    <xf numFmtId="1" fontId="11" fillId="11" borderId="2" xfId="0" applyNumberFormat="1" applyFont="1" applyFill="1" applyBorder="1" applyAlignment="1">
      <alignment horizontal="center" vertical="center"/>
    </xf>
    <xf numFmtId="170" fontId="11" fillId="11" borderId="23" xfId="7" applyNumberFormat="1" applyFont="1" applyFill="1" applyBorder="1" applyAlignment="1">
      <alignment vertical="center"/>
    </xf>
    <xf numFmtId="10" fontId="11" fillId="11" borderId="23" xfId="1" applyNumberFormat="1" applyFont="1" applyFill="1" applyBorder="1" applyAlignment="1">
      <alignment horizontal="center" vertical="center"/>
    </xf>
    <xf numFmtId="170" fontId="9" fillId="9" borderId="39" xfId="7" applyNumberFormat="1" applyFont="1" applyFill="1" applyBorder="1" applyAlignment="1">
      <alignment vertical="center"/>
    </xf>
    <xf numFmtId="170" fontId="9" fillId="9" borderId="37" xfId="7" applyNumberFormat="1" applyFont="1" applyFill="1" applyBorder="1" applyAlignment="1">
      <alignment vertical="center"/>
    </xf>
    <xf numFmtId="170" fontId="9" fillId="9" borderId="38" xfId="7" applyNumberFormat="1" applyFont="1" applyFill="1" applyBorder="1" applyAlignment="1">
      <alignment vertical="center"/>
    </xf>
    <xf numFmtId="44" fontId="9" fillId="9" borderId="8" xfId="8" applyFont="1" applyFill="1" applyBorder="1"/>
    <xf numFmtId="44" fontId="8" fillId="11" borderId="11" xfId="8" applyFont="1" applyFill="1" applyBorder="1" applyAlignment="1">
      <alignment wrapText="1"/>
    </xf>
    <xf numFmtId="0" fontId="10" fillId="0" borderId="0" xfId="0" applyFont="1" applyFill="1" applyBorder="1" applyAlignment="1">
      <alignment vertical="center" wrapText="1"/>
    </xf>
    <xf numFmtId="166" fontId="8" fillId="11" borderId="1" xfId="7" applyFont="1" applyFill="1" applyBorder="1" applyAlignment="1">
      <alignment vertical="center" wrapText="1"/>
    </xf>
    <xf numFmtId="0" fontId="9" fillId="0" borderId="0" xfId="0" applyFont="1" applyFill="1" applyBorder="1" applyAlignment="1">
      <alignment vertical="center"/>
    </xf>
    <xf numFmtId="0" fontId="9" fillId="0" borderId="0" xfId="0" applyFont="1" applyFill="1" applyBorder="1" applyAlignment="1">
      <alignment vertical="center" wrapText="1"/>
    </xf>
    <xf numFmtId="44" fontId="8" fillId="0" borderId="0" xfId="8" applyFont="1" applyFill="1" applyBorder="1" applyAlignment="1">
      <alignment vertical="center" wrapText="1"/>
    </xf>
    <xf numFmtId="0" fontId="8" fillId="11" borderId="1" xfId="0" applyFont="1" applyFill="1" applyBorder="1" applyAlignment="1">
      <alignment horizontal="left" vertical="center" wrapText="1"/>
    </xf>
    <xf numFmtId="0" fontId="9" fillId="9" borderId="14" xfId="0" applyFont="1" applyFill="1" applyBorder="1" applyAlignment="1">
      <alignment vertical="center" wrapText="1"/>
    </xf>
    <xf numFmtId="170" fontId="9" fillId="0" borderId="0" xfId="7" applyNumberFormat="1" applyFont="1" applyFill="1" applyBorder="1" applyAlignment="1">
      <alignment horizontal="center" vertical="center"/>
    </xf>
    <xf numFmtId="0" fontId="8" fillId="9" borderId="14" xfId="0" applyFont="1" applyFill="1" applyBorder="1" applyAlignment="1">
      <alignment vertical="center" wrapText="1"/>
    </xf>
    <xf numFmtId="0" fontId="9" fillId="9" borderId="28" xfId="0" applyFont="1" applyFill="1" applyBorder="1" applyAlignment="1">
      <alignment vertical="center"/>
    </xf>
    <xf numFmtId="0" fontId="9" fillId="0" borderId="17" xfId="0" applyFont="1" applyFill="1" applyBorder="1" applyAlignment="1">
      <alignment horizontal="center" vertical="center"/>
    </xf>
    <xf numFmtId="44" fontId="9" fillId="0" borderId="17" xfId="0" applyNumberFormat="1" applyFont="1" applyFill="1" applyBorder="1" applyAlignment="1">
      <alignment vertical="center"/>
    </xf>
    <xf numFmtId="0" fontId="8" fillId="11" borderId="19" xfId="0" applyFont="1" applyFill="1" applyBorder="1" applyAlignment="1">
      <alignment vertical="center" wrapText="1"/>
    </xf>
    <xf numFmtId="0" fontId="9" fillId="9" borderId="29" xfId="0" applyFont="1" applyFill="1" applyBorder="1" applyAlignment="1">
      <alignment vertical="center" wrapText="1"/>
    </xf>
    <xf numFmtId="0" fontId="9" fillId="9" borderId="20" xfId="0" applyFont="1" applyFill="1" applyBorder="1" applyAlignment="1">
      <alignment vertical="center" wrapText="1"/>
    </xf>
    <xf numFmtId="0" fontId="9" fillId="9" borderId="22" xfId="0" applyFont="1" applyFill="1" applyBorder="1" applyAlignment="1">
      <alignment vertical="center"/>
    </xf>
    <xf numFmtId="0" fontId="9" fillId="2" borderId="7" xfId="0" applyFont="1" applyFill="1" applyBorder="1" applyAlignment="1">
      <alignment vertical="center" wrapText="1"/>
    </xf>
    <xf numFmtId="0" fontId="8" fillId="0" borderId="1" xfId="0" applyFont="1" applyBorder="1" applyAlignment="1">
      <alignment vertical="center"/>
    </xf>
    <xf numFmtId="0" fontId="9" fillId="0" borderId="1" xfId="0" applyFont="1" applyBorder="1" applyAlignment="1">
      <alignment horizontal="center" vertical="center"/>
    </xf>
    <xf numFmtId="0" fontId="9" fillId="0" borderId="3" xfId="0" applyFont="1" applyBorder="1" applyAlignment="1">
      <alignment horizontal="center" vertical="center"/>
    </xf>
    <xf numFmtId="170" fontId="8" fillId="0" borderId="0" xfId="7" applyNumberFormat="1" applyFont="1" applyFill="1" applyBorder="1" applyAlignment="1">
      <alignment vertical="center" wrapText="1"/>
    </xf>
    <xf numFmtId="170" fontId="8" fillId="0" borderId="0" xfId="7" applyNumberFormat="1" applyFont="1" applyFill="1" applyBorder="1" applyAlignment="1">
      <alignment vertical="center"/>
    </xf>
    <xf numFmtId="170" fontId="9" fillId="0" borderId="0" xfId="7" applyNumberFormat="1" applyFont="1" applyFill="1" applyBorder="1" applyAlignment="1">
      <alignment vertical="center"/>
    </xf>
    <xf numFmtId="0" fontId="9" fillId="0" borderId="46" xfId="0" applyFont="1" applyFill="1" applyBorder="1" applyAlignment="1">
      <alignment vertical="center" wrapText="1"/>
    </xf>
    <xf numFmtId="0" fontId="8" fillId="0" borderId="46" xfId="0" applyFont="1" applyFill="1" applyBorder="1" applyAlignment="1">
      <alignment vertical="center" wrapText="1"/>
    </xf>
    <xf numFmtId="0" fontId="8" fillId="0" borderId="46" xfId="0" applyFont="1" applyFill="1" applyBorder="1" applyAlignment="1">
      <alignment horizontal="center" vertical="center" wrapText="1"/>
    </xf>
    <xf numFmtId="166" fontId="8" fillId="9" borderId="1" xfId="7" applyFont="1" applyFill="1" applyBorder="1" applyAlignment="1">
      <alignment vertical="center" wrapText="1"/>
    </xf>
    <xf numFmtId="166" fontId="9" fillId="9" borderId="1" xfId="7" applyFont="1" applyFill="1" applyBorder="1" applyAlignment="1">
      <alignment vertical="center"/>
    </xf>
    <xf numFmtId="0" fontId="16" fillId="0" borderId="1" xfId="0" applyFont="1" applyBorder="1" applyAlignment="1">
      <alignment vertical="center"/>
    </xf>
    <xf numFmtId="0" fontId="8" fillId="0" borderId="1" xfId="0" applyFont="1" applyBorder="1"/>
    <xf numFmtId="166" fontId="8" fillId="0" borderId="1" xfId="7" applyFont="1" applyBorder="1" applyAlignment="1">
      <alignment vertical="center"/>
    </xf>
    <xf numFmtId="0" fontId="8" fillId="9" borderId="1" xfId="0" applyFont="1" applyFill="1" applyBorder="1" applyAlignment="1">
      <alignment horizontal="center" vertical="center" wrapText="1"/>
    </xf>
    <xf numFmtId="0" fontId="0" fillId="0" borderId="1" xfId="0" applyBorder="1"/>
    <xf numFmtId="0" fontId="8" fillId="0" borderId="1" xfId="0" applyFont="1" applyBorder="1" applyAlignment="1">
      <alignment vertical="center" wrapText="1"/>
    </xf>
    <xf numFmtId="0" fontId="9" fillId="0" borderId="1" xfId="0" applyFont="1" applyBorder="1" applyAlignment="1">
      <alignment horizontal="center" vertical="center" wrapText="1"/>
    </xf>
    <xf numFmtId="0" fontId="8" fillId="0" borderId="1" xfId="0" applyFont="1" applyBorder="1" applyAlignment="1">
      <alignment wrapText="1"/>
    </xf>
    <xf numFmtId="0" fontId="9" fillId="0" borderId="1" xfId="0" applyFont="1" applyBorder="1" applyAlignment="1">
      <alignment vertical="center"/>
    </xf>
    <xf numFmtId="170" fontId="9" fillId="9" borderId="15" xfId="7" applyNumberFormat="1" applyFont="1" applyFill="1" applyBorder="1" applyAlignment="1">
      <alignment vertical="center"/>
    </xf>
    <xf numFmtId="170" fontId="9" fillId="11" borderId="2" xfId="7" applyNumberFormat="1" applyFont="1" applyFill="1" applyBorder="1" applyAlignment="1">
      <alignment vertical="center"/>
    </xf>
    <xf numFmtId="2" fontId="9" fillId="9" borderId="2" xfId="0" applyNumberFormat="1" applyFont="1" applyFill="1" applyBorder="1" applyAlignment="1">
      <alignment vertical="center"/>
    </xf>
    <xf numFmtId="170" fontId="9" fillId="9" borderId="2" xfId="7" applyNumberFormat="1" applyFont="1" applyFill="1" applyBorder="1" applyAlignment="1">
      <alignment vertical="center"/>
    </xf>
    <xf numFmtId="44" fontId="9" fillId="9" borderId="45" xfId="8" applyFont="1" applyFill="1" applyBorder="1" applyAlignment="1">
      <alignment vertical="center"/>
    </xf>
    <xf numFmtId="170" fontId="9" fillId="9" borderId="0" xfId="7" applyNumberFormat="1" applyFont="1" applyFill="1" applyBorder="1" applyAlignment="1"/>
    <xf numFmtId="0" fontId="9" fillId="9" borderId="3" xfId="0" applyFont="1" applyFill="1" applyBorder="1"/>
    <xf numFmtId="170" fontId="9" fillId="9" borderId="3" xfId="7" applyNumberFormat="1" applyFont="1" applyFill="1" applyBorder="1" applyAlignment="1"/>
    <xf numFmtId="1" fontId="8" fillId="11" borderId="1" xfId="0" applyNumberFormat="1" applyFont="1" applyFill="1" applyBorder="1" applyAlignment="1">
      <alignment horizontal="right" vertical="center"/>
    </xf>
    <xf numFmtId="0" fontId="8" fillId="0" borderId="1" xfId="0" applyFont="1" applyBorder="1" applyAlignment="1">
      <alignment horizontal="right" vertical="center"/>
    </xf>
    <xf numFmtId="0" fontId="9" fillId="10" borderId="2" xfId="0" applyFont="1" applyFill="1" applyBorder="1" applyAlignment="1">
      <alignment horizontal="center" vertical="center" wrapText="1"/>
    </xf>
    <xf numFmtId="44" fontId="8" fillId="0" borderId="1" xfId="0" applyNumberFormat="1" applyFont="1" applyBorder="1"/>
    <xf numFmtId="171" fontId="8" fillId="4" borderId="1" xfId="7" applyNumberFormat="1" applyFont="1" applyFill="1" applyBorder="1" applyAlignment="1">
      <alignment horizontal="center"/>
    </xf>
    <xf numFmtId="0" fontId="8" fillId="4" borderId="3" xfId="0" applyFont="1" applyFill="1" applyBorder="1" applyAlignment="1">
      <alignment horizontal="center" vertical="center"/>
    </xf>
    <xf numFmtId="170" fontId="8" fillId="4" borderId="3" xfId="7" applyNumberFormat="1" applyFont="1" applyFill="1" applyBorder="1" applyAlignment="1">
      <alignment horizontal="center" vertical="center"/>
    </xf>
    <xf numFmtId="0" fontId="9" fillId="10" borderId="36" xfId="0" applyFont="1" applyFill="1" applyBorder="1" applyAlignment="1">
      <alignment horizontal="center" vertical="center"/>
    </xf>
    <xf numFmtId="0" fontId="9" fillId="10" borderId="38" xfId="0" applyFont="1" applyFill="1" applyBorder="1" applyAlignment="1">
      <alignment horizontal="center" vertical="center"/>
    </xf>
    <xf numFmtId="0" fontId="8" fillId="4" borderId="2" xfId="0" applyFont="1" applyFill="1" applyBorder="1" applyAlignment="1">
      <alignment horizontal="center" vertical="center"/>
    </xf>
    <xf numFmtId="170" fontId="8" fillId="4" borderId="2" xfId="7" applyNumberFormat="1" applyFont="1" applyFill="1" applyBorder="1" applyAlignment="1">
      <alignment horizontal="center" vertical="center"/>
    </xf>
    <xf numFmtId="170" fontId="9" fillId="10" borderId="38" xfId="7" applyNumberFormat="1" applyFont="1" applyFill="1" applyBorder="1" applyAlignment="1">
      <alignment horizontal="center" vertical="center"/>
    </xf>
    <xf numFmtId="0" fontId="18" fillId="0" borderId="0" xfId="0" applyFont="1" applyAlignment="1">
      <alignment vertical="center"/>
    </xf>
    <xf numFmtId="0" fontId="17" fillId="10" borderId="1" xfId="0" applyFont="1" applyFill="1" applyBorder="1" applyAlignment="1">
      <alignment horizontal="center" vertical="center"/>
    </xf>
    <xf numFmtId="170" fontId="17" fillId="10" borderId="1" xfId="7" applyNumberFormat="1" applyFont="1" applyFill="1" applyBorder="1" applyAlignment="1">
      <alignment horizontal="center" vertical="center"/>
    </xf>
    <xf numFmtId="0" fontId="18" fillId="4" borderId="1" xfId="0" applyFont="1" applyFill="1" applyBorder="1" applyAlignment="1">
      <alignment vertical="center" wrapText="1"/>
    </xf>
    <xf numFmtId="170" fontId="18" fillId="4" borderId="1" xfId="7" applyNumberFormat="1" applyFont="1" applyFill="1" applyBorder="1" applyAlignment="1">
      <alignment vertical="center"/>
    </xf>
    <xf numFmtId="0" fontId="17" fillId="10" borderId="1" xfId="0" applyFont="1" applyFill="1" applyBorder="1" applyAlignment="1">
      <alignment vertical="center" wrapText="1"/>
    </xf>
    <xf numFmtId="0" fontId="17" fillId="10" borderId="1" xfId="0" applyFont="1" applyFill="1" applyBorder="1" applyAlignment="1">
      <alignment horizontal="center" vertical="center" wrapText="1"/>
    </xf>
    <xf numFmtId="170" fontId="18" fillId="0" borderId="0" xfId="7" applyNumberFormat="1" applyFont="1" applyAlignment="1">
      <alignment vertical="center"/>
    </xf>
    <xf numFmtId="0" fontId="18" fillId="4" borderId="1" xfId="0" applyFont="1" applyFill="1" applyBorder="1" applyAlignment="1">
      <alignment vertical="center"/>
    </xf>
    <xf numFmtId="0" fontId="17" fillId="10" borderId="1" xfId="0" applyFont="1" applyFill="1" applyBorder="1" applyAlignment="1">
      <alignment vertical="center"/>
    </xf>
    <xf numFmtId="0" fontId="8" fillId="4" borderId="2" xfId="0" applyFont="1" applyFill="1" applyBorder="1"/>
    <xf numFmtId="170" fontId="8" fillId="4" borderId="2" xfId="7" applyNumberFormat="1" applyFont="1" applyFill="1" applyBorder="1"/>
    <xf numFmtId="0" fontId="9" fillId="10" borderId="36" xfId="0" applyFont="1" applyFill="1" applyBorder="1"/>
    <xf numFmtId="170" fontId="9" fillId="10" borderId="37" xfId="7" applyNumberFormat="1" applyFont="1" applyFill="1" applyBorder="1"/>
    <xf numFmtId="0" fontId="8" fillId="5" borderId="1" xfId="0" applyFont="1" applyFill="1" applyBorder="1" applyAlignment="1">
      <alignment vertical="center" wrapText="1"/>
    </xf>
    <xf numFmtId="0" fontId="9" fillId="6" borderId="36" xfId="0" applyFont="1" applyFill="1" applyBorder="1" applyAlignment="1">
      <alignment horizontal="center"/>
    </xf>
    <xf numFmtId="170" fontId="9" fillId="6" borderId="37" xfId="7" applyNumberFormat="1" applyFont="1" applyFill="1" applyBorder="1" applyAlignment="1"/>
    <xf numFmtId="9" fontId="9" fillId="6" borderId="38" xfId="0" applyNumberFormat="1" applyFont="1" applyFill="1" applyBorder="1" applyAlignment="1"/>
    <xf numFmtId="170" fontId="8" fillId="5" borderId="3" xfId="7" applyNumberFormat="1" applyFont="1" applyFill="1" applyBorder="1" applyAlignment="1">
      <alignment wrapText="1"/>
    </xf>
    <xf numFmtId="0" fontId="9" fillId="6" borderId="36" xfId="0" applyFont="1" applyFill="1" applyBorder="1" applyAlignment="1">
      <alignment horizontal="center" vertical="center" wrapText="1"/>
    </xf>
    <xf numFmtId="0" fontId="9" fillId="6" borderId="37" xfId="0" applyFont="1" applyFill="1" applyBorder="1" applyAlignment="1">
      <alignment horizontal="center" vertical="center" wrapText="1"/>
    </xf>
    <xf numFmtId="0" fontId="9" fillId="6" borderId="38" xfId="0" applyFont="1" applyFill="1" applyBorder="1" applyAlignment="1">
      <alignment horizontal="center" vertical="center" wrapText="1"/>
    </xf>
    <xf numFmtId="0" fontId="8" fillId="5" borderId="50" xfId="0" applyFont="1" applyFill="1" applyBorder="1" applyAlignment="1">
      <alignment horizontal="center"/>
    </xf>
    <xf numFmtId="9" fontId="8" fillId="5" borderId="51" xfId="0" applyNumberFormat="1" applyFont="1" applyFill="1" applyBorder="1" applyAlignment="1"/>
    <xf numFmtId="0" fontId="8" fillId="5" borderId="13" xfId="0" applyFont="1" applyFill="1" applyBorder="1" applyAlignment="1">
      <alignment horizontal="center"/>
    </xf>
    <xf numFmtId="170" fontId="8" fillId="5" borderId="8" xfId="7" applyNumberFormat="1" applyFont="1" applyFill="1" applyBorder="1" applyAlignment="1"/>
    <xf numFmtId="9" fontId="8" fillId="5" borderId="9" xfId="0" applyNumberFormat="1" applyFont="1" applyFill="1" applyBorder="1" applyAlignment="1"/>
    <xf numFmtId="10" fontId="9" fillId="5" borderId="1" xfId="0" applyNumberFormat="1" applyFont="1" applyFill="1" applyBorder="1" applyAlignment="1">
      <alignment vertical="center"/>
    </xf>
    <xf numFmtId="10" fontId="9" fillId="0" borderId="0" xfId="0" applyNumberFormat="1" applyFont="1" applyFill="1" applyBorder="1" applyAlignment="1">
      <alignment vertical="center"/>
    </xf>
    <xf numFmtId="44" fontId="8" fillId="0" borderId="0" xfId="8" applyFont="1" applyFill="1" applyAlignment="1">
      <alignment vertical="center"/>
    </xf>
    <xf numFmtId="166" fontId="8" fillId="0" borderId="1" xfId="7" applyFont="1" applyBorder="1"/>
    <xf numFmtId="0" fontId="19" fillId="0" borderId="1" xfId="3" applyFont="1" applyFill="1" applyBorder="1" applyAlignment="1">
      <alignment horizontal="center"/>
    </xf>
    <xf numFmtId="10" fontId="19" fillId="0" borderId="1" xfId="3" applyNumberFormat="1" applyFont="1" applyFill="1" applyBorder="1" applyAlignment="1">
      <alignment horizontal="center"/>
    </xf>
    <xf numFmtId="0" fontId="21" fillId="0" borderId="45" xfId="0" applyFont="1" applyBorder="1" applyAlignment="1">
      <alignment horizontal="center"/>
    </xf>
    <xf numFmtId="0" fontId="20" fillId="0" borderId="50" xfId="0" applyFont="1" applyBorder="1"/>
    <xf numFmtId="0" fontId="20" fillId="0" borderId="53" xfId="0" applyFont="1" applyBorder="1"/>
    <xf numFmtId="9" fontId="20" fillId="0" borderId="3" xfId="0" applyNumberFormat="1" applyFont="1" applyBorder="1"/>
    <xf numFmtId="9" fontId="20" fillId="0" borderId="2" xfId="0" applyNumberFormat="1" applyFont="1" applyBorder="1"/>
    <xf numFmtId="10" fontId="20" fillId="0" borderId="3" xfId="0" applyNumberFormat="1" applyFont="1" applyBorder="1"/>
    <xf numFmtId="10" fontId="20" fillId="0" borderId="51" xfId="1" applyNumberFormat="1" applyFont="1" applyBorder="1"/>
    <xf numFmtId="10" fontId="20" fillId="0" borderId="38" xfId="0" applyNumberFormat="1" applyFont="1" applyBorder="1"/>
    <xf numFmtId="0" fontId="2" fillId="0" borderId="0" xfId="2"/>
    <xf numFmtId="0" fontId="22" fillId="0" borderId="0" xfId="2" applyFont="1"/>
    <xf numFmtId="8" fontId="8" fillId="0" borderId="0" xfId="0" applyNumberFormat="1" applyFont="1"/>
    <xf numFmtId="0" fontId="9" fillId="0" borderId="54" xfId="0" applyFont="1" applyBorder="1" applyAlignment="1">
      <alignment vertical="center"/>
    </xf>
    <xf numFmtId="0" fontId="9" fillId="0" borderId="45" xfId="0" applyFont="1" applyBorder="1" applyAlignment="1">
      <alignment vertical="center"/>
    </xf>
    <xf numFmtId="0" fontId="21" fillId="0" borderId="1" xfId="0" applyFont="1" applyBorder="1" applyAlignment="1">
      <alignment horizontal="center" vertical="center" wrapText="1"/>
    </xf>
    <xf numFmtId="0" fontId="20" fillId="0" borderId="1" xfId="0" applyFont="1" applyBorder="1" applyAlignment="1">
      <alignment horizontal="center"/>
    </xf>
    <xf numFmtId="0" fontId="21" fillId="0" borderId="1" xfId="0" applyFont="1" applyBorder="1"/>
    <xf numFmtId="171" fontId="21" fillId="0" borderId="1" xfId="0" applyNumberFormat="1" applyFont="1" applyBorder="1"/>
    <xf numFmtId="171" fontId="0" fillId="0" borderId="1" xfId="7" applyNumberFormat="1" applyFont="1" applyBorder="1"/>
    <xf numFmtId="9" fontId="21" fillId="0" borderId="1" xfId="1" applyFont="1" applyBorder="1" applyAlignment="1">
      <alignment horizontal="right" vertical="center" wrapText="1"/>
    </xf>
    <xf numFmtId="9" fontId="21" fillId="0" borderId="1" xfId="1" applyFont="1" applyBorder="1"/>
    <xf numFmtId="44" fontId="21" fillId="0" borderId="1" xfId="0" applyNumberFormat="1" applyFont="1" applyBorder="1" applyAlignment="1">
      <alignment horizontal="center" vertical="center" wrapText="1"/>
    </xf>
    <xf numFmtId="166" fontId="21" fillId="0" borderId="1" xfId="7" applyFont="1" applyBorder="1" applyAlignment="1">
      <alignment horizontal="center" vertical="center" wrapText="1"/>
    </xf>
    <xf numFmtId="0" fontId="20" fillId="0" borderId="47" xfId="0" applyFont="1" applyBorder="1"/>
    <xf numFmtId="0" fontId="20" fillId="0" borderId="0" xfId="0" applyFont="1" applyBorder="1"/>
    <xf numFmtId="0" fontId="20" fillId="0" borderId="59" xfId="0" applyFont="1" applyBorder="1"/>
    <xf numFmtId="0" fontId="20" fillId="0" borderId="7" xfId="0" applyFont="1" applyBorder="1"/>
    <xf numFmtId="0" fontId="20" fillId="0" borderId="34" xfId="0" applyFont="1" applyBorder="1"/>
    <xf numFmtId="0" fontId="20" fillId="0" borderId="0" xfId="0" applyFont="1" applyBorder="1" applyAlignment="1"/>
    <xf numFmtId="0" fontId="24" fillId="0" borderId="0" xfId="0" applyFont="1" applyBorder="1" applyAlignment="1"/>
    <xf numFmtId="0" fontId="24" fillId="0" borderId="59" xfId="0" applyFont="1" applyBorder="1" applyAlignment="1"/>
    <xf numFmtId="166" fontId="21" fillId="0" borderId="1" xfId="0" applyNumberFormat="1" applyFont="1" applyBorder="1"/>
    <xf numFmtId="0" fontId="20" fillId="0" borderId="59" xfId="0" applyFont="1" applyBorder="1" applyAlignment="1"/>
    <xf numFmtId="0" fontId="20" fillId="0" borderId="0" xfId="0" applyFont="1" applyBorder="1" applyAlignment="1">
      <alignment vertical="center"/>
    </xf>
    <xf numFmtId="166" fontId="25" fillId="0" borderId="0" xfId="7" applyFont="1" applyBorder="1" applyAlignment="1"/>
    <xf numFmtId="166" fontId="25" fillId="0" borderId="59" xfId="7" applyFont="1" applyBorder="1" applyAlignment="1"/>
    <xf numFmtId="166" fontId="20" fillId="0" borderId="0" xfId="7" applyFont="1" applyBorder="1" applyAlignment="1"/>
    <xf numFmtId="166" fontId="20" fillId="0" borderId="59" xfId="7" applyFont="1" applyBorder="1" applyAlignment="1"/>
    <xf numFmtId="166" fontId="24" fillId="0" borderId="0" xfId="7" applyFont="1" applyBorder="1" applyAlignment="1"/>
    <xf numFmtId="166" fontId="24" fillId="0" borderId="59" xfId="7" applyFont="1" applyBorder="1" applyAlignment="1"/>
    <xf numFmtId="44" fontId="20" fillId="0" borderId="34" xfId="8" applyFont="1" applyBorder="1" applyAlignment="1"/>
    <xf numFmtId="44" fontId="20" fillId="0" borderId="35" xfId="8" applyFont="1" applyBorder="1" applyAlignment="1"/>
    <xf numFmtId="0" fontId="0" fillId="0" borderId="0" xfId="0" applyBorder="1"/>
    <xf numFmtId="171" fontId="0" fillId="0" borderId="58" xfId="7" applyNumberFormat="1" applyFont="1" applyBorder="1" applyAlignment="1">
      <alignment vertical="center"/>
    </xf>
    <xf numFmtId="44" fontId="0" fillId="0" borderId="45" xfId="0" applyNumberFormat="1" applyBorder="1" applyAlignment="1">
      <alignment vertical="center"/>
    </xf>
    <xf numFmtId="0" fontId="20" fillId="0" borderId="0" xfId="0" applyFont="1" applyBorder="1" applyAlignment="1">
      <alignment vertical="center" wrapText="1"/>
    </xf>
    <xf numFmtId="0" fontId="20" fillId="0" borderId="0" xfId="0" applyFont="1" applyBorder="1" applyAlignment="1">
      <alignment wrapText="1"/>
    </xf>
    <xf numFmtId="0" fontId="20" fillId="0" borderId="59" xfId="0" applyFont="1" applyBorder="1" applyAlignment="1">
      <alignment wrapText="1"/>
    </xf>
    <xf numFmtId="0" fontId="21" fillId="0" borderId="45" xfId="0" applyFont="1" applyBorder="1" applyAlignment="1">
      <alignment horizontal="center" vertical="center"/>
    </xf>
    <xf numFmtId="166" fontId="20" fillId="0" borderId="50" xfId="7" applyFont="1" applyBorder="1"/>
    <xf numFmtId="166" fontId="20" fillId="0" borderId="3" xfId="7" applyFont="1" applyBorder="1"/>
    <xf numFmtId="166" fontId="20" fillId="0" borderId="51" xfId="7" applyFont="1" applyBorder="1"/>
    <xf numFmtId="166" fontId="20" fillId="0" borderId="11" xfId="7" applyFont="1" applyBorder="1"/>
    <xf numFmtId="166" fontId="20" fillId="0" borderId="1" xfId="7" applyFont="1" applyBorder="1"/>
    <xf numFmtId="166" fontId="20" fillId="0" borderId="13" xfId="7" applyFont="1" applyBorder="1"/>
    <xf numFmtId="0" fontId="8" fillId="14" borderId="1" xfId="0" applyFont="1" applyFill="1" applyBorder="1" applyAlignment="1">
      <alignment horizontal="center" vertical="center"/>
    </xf>
    <xf numFmtId="44" fontId="8" fillId="0" borderId="1" xfId="0" applyNumberFormat="1" applyFont="1" applyBorder="1" applyAlignment="1">
      <alignment horizontal="center" vertical="center"/>
    </xf>
    <xf numFmtId="44" fontId="8" fillId="12" borderId="1" xfId="0" applyNumberFormat="1" applyFont="1" applyFill="1" applyBorder="1" applyAlignment="1">
      <alignment horizontal="center" vertical="center"/>
    </xf>
    <xf numFmtId="0" fontId="8" fillId="0" borderId="1" xfId="0" applyFont="1" applyBorder="1" applyAlignment="1">
      <alignment horizontal="center" vertical="center"/>
    </xf>
    <xf numFmtId="44" fontId="8" fillId="13" borderId="1" xfId="0" applyNumberFormat="1" applyFont="1" applyFill="1" applyBorder="1" applyAlignment="1">
      <alignment horizontal="center" vertical="center"/>
    </xf>
    <xf numFmtId="0" fontId="8" fillId="14" borderId="2" xfId="0" applyFont="1" applyFill="1" applyBorder="1" applyAlignment="1">
      <alignment vertical="center"/>
    </xf>
    <xf numFmtId="0" fontId="8" fillId="0" borderId="46" xfId="0" applyFont="1" applyBorder="1" applyAlignment="1">
      <alignment vertical="top" wrapText="1"/>
    </xf>
    <xf numFmtId="44" fontId="8" fillId="0" borderId="22" xfId="0" applyNumberFormat="1" applyFont="1" applyBorder="1" applyAlignment="1">
      <alignment vertical="top" wrapText="1"/>
    </xf>
    <xf numFmtId="4" fontId="8" fillId="0" borderId="21" xfId="0" quotePrefix="1" applyNumberFormat="1" applyFont="1" applyBorder="1" applyAlignment="1">
      <alignment horizontal="left" vertical="top" wrapText="1"/>
    </xf>
    <xf numFmtId="166" fontId="8" fillId="0" borderId="0" xfId="7" applyFont="1" applyBorder="1" applyAlignment="1">
      <alignment vertical="top" wrapText="1"/>
    </xf>
    <xf numFmtId="166" fontId="8" fillId="0" borderId="52" xfId="7" quotePrefix="1" applyFont="1" applyBorder="1" applyAlignment="1">
      <alignment horizontal="right" wrapText="1"/>
    </xf>
    <xf numFmtId="0" fontId="8" fillId="0" borderId="0" xfId="0" applyFont="1" applyBorder="1" applyAlignment="1">
      <alignment vertical="top" wrapText="1"/>
    </xf>
    <xf numFmtId="0" fontId="8" fillId="0" borderId="52" xfId="0" applyFont="1" applyBorder="1" applyAlignment="1">
      <alignment vertical="top" wrapText="1"/>
    </xf>
    <xf numFmtId="0" fontId="8" fillId="0" borderId="3" xfId="0" applyFont="1" applyBorder="1" applyAlignment="1">
      <alignment vertical="top" wrapText="1"/>
    </xf>
    <xf numFmtId="0" fontId="8" fillId="0" borderId="1" xfId="0" applyFont="1" applyBorder="1" applyAlignment="1">
      <alignment horizontal="right" vertical="center" wrapText="1"/>
    </xf>
    <xf numFmtId="1" fontId="8" fillId="0" borderId="1" xfId="0" applyNumberFormat="1" applyFont="1" applyBorder="1" applyAlignment="1">
      <alignment wrapText="1"/>
    </xf>
    <xf numFmtId="0" fontId="8" fillId="0" borderId="46" xfId="0" applyFont="1" applyBorder="1" applyAlignment="1"/>
    <xf numFmtId="0" fontId="8" fillId="0" borderId="0" xfId="0" applyFont="1" applyBorder="1" applyAlignment="1">
      <alignment horizontal="right" vertical="center"/>
    </xf>
    <xf numFmtId="0" fontId="8" fillId="0" borderId="52" xfId="0" applyFont="1" applyBorder="1" applyAlignment="1"/>
    <xf numFmtId="0" fontId="8" fillId="0" borderId="0" xfId="0" applyFont="1" applyBorder="1" applyAlignment="1"/>
    <xf numFmtId="44" fontId="8" fillId="12" borderId="1" xfId="0" applyNumberFormat="1" applyFont="1" applyFill="1" applyBorder="1" applyAlignment="1">
      <alignment vertical="center"/>
    </xf>
    <xf numFmtId="44" fontId="8" fillId="13" borderId="2" xfId="0" applyNumberFormat="1" applyFont="1" applyFill="1" applyBorder="1" applyAlignment="1">
      <alignment vertical="center"/>
    </xf>
    <xf numFmtId="166" fontId="9" fillId="0" borderId="1" xfId="0" applyNumberFormat="1" applyFont="1" applyBorder="1"/>
    <xf numFmtId="0" fontId="9" fillId="0" borderId="1" xfId="0" applyFont="1" applyBorder="1"/>
    <xf numFmtId="166" fontId="8" fillId="0" borderId="30" xfId="7" applyFont="1" applyBorder="1" applyAlignment="1">
      <alignment vertical="center"/>
    </xf>
    <xf numFmtId="166" fontId="9" fillId="9" borderId="37" xfId="7" applyFont="1" applyFill="1" applyBorder="1" applyAlignment="1">
      <alignment vertical="center" wrapText="1"/>
    </xf>
    <xf numFmtId="166" fontId="9" fillId="0" borderId="31" xfId="7" applyFont="1" applyBorder="1" applyAlignment="1">
      <alignment vertical="center"/>
    </xf>
    <xf numFmtId="166" fontId="9" fillId="9" borderId="39" xfId="7" applyFont="1" applyFill="1" applyBorder="1" applyAlignment="1">
      <alignment vertical="center" wrapText="1"/>
    </xf>
    <xf numFmtId="166" fontId="9" fillId="9" borderId="38" xfId="7" applyFont="1" applyFill="1" applyBorder="1" applyAlignment="1">
      <alignment vertical="center"/>
    </xf>
    <xf numFmtId="166" fontId="9" fillId="0" borderId="0" xfId="7" applyFont="1" applyFill="1" applyBorder="1" applyAlignment="1">
      <alignment horizontal="center" vertical="center"/>
    </xf>
    <xf numFmtId="166" fontId="8" fillId="9" borderId="14" xfId="7" applyFont="1" applyFill="1" applyBorder="1" applyAlignment="1">
      <alignment vertical="center" wrapText="1"/>
    </xf>
    <xf numFmtId="166" fontId="8" fillId="11" borderId="14" xfId="7" applyFont="1" applyFill="1" applyBorder="1" applyAlignment="1">
      <alignment vertical="center" wrapText="1"/>
    </xf>
    <xf numFmtId="166" fontId="8" fillId="11" borderId="14" xfId="7" applyFont="1" applyFill="1" applyBorder="1" applyAlignment="1">
      <alignment vertical="center"/>
    </xf>
    <xf numFmtId="166" fontId="8" fillId="11" borderId="19" xfId="7" applyFont="1" applyFill="1" applyBorder="1" applyAlignment="1">
      <alignment vertical="center" wrapText="1"/>
    </xf>
    <xf numFmtId="166" fontId="9" fillId="9" borderId="43" xfId="7" applyFont="1" applyFill="1" applyBorder="1" applyAlignment="1">
      <alignment vertical="center"/>
    </xf>
    <xf numFmtId="166" fontId="8" fillId="11" borderId="1" xfId="7" applyFont="1" applyFill="1" applyBorder="1" applyAlignment="1">
      <alignment horizontal="center" vertical="center"/>
    </xf>
    <xf numFmtId="166" fontId="9" fillId="9" borderId="1" xfId="7" applyFont="1" applyFill="1" applyBorder="1" applyAlignment="1">
      <alignment horizontal="center" vertical="center"/>
    </xf>
    <xf numFmtId="166" fontId="8" fillId="0" borderId="1" xfId="7" applyFont="1" applyBorder="1" applyAlignment="1">
      <alignment horizontal="right" vertical="center"/>
    </xf>
    <xf numFmtId="166" fontId="9" fillId="0" borderId="1" xfId="7" applyFont="1" applyBorder="1" applyAlignment="1">
      <alignment horizontal="right" vertical="center"/>
    </xf>
    <xf numFmtId="166" fontId="18" fillId="4" borderId="1" xfId="7" applyFont="1" applyFill="1" applyBorder="1" applyAlignment="1">
      <alignment horizontal="right" vertical="center"/>
    </xf>
    <xf numFmtId="166" fontId="18" fillId="10" borderId="1" xfId="7" applyFont="1" applyFill="1" applyBorder="1" applyAlignment="1">
      <alignment horizontal="right" vertical="center"/>
    </xf>
    <xf numFmtId="166" fontId="18" fillId="4" borderId="1" xfId="7" applyFont="1" applyFill="1" applyBorder="1" applyAlignment="1">
      <alignment horizontal="right" vertical="center" wrapText="1"/>
    </xf>
    <xf numFmtId="166" fontId="17" fillId="10" borderId="1" xfId="7" applyFont="1" applyFill="1" applyBorder="1" applyAlignment="1">
      <alignment horizontal="right" vertical="center"/>
    </xf>
    <xf numFmtId="166" fontId="8" fillId="0" borderId="0" xfId="7" applyFont="1" applyAlignment="1">
      <alignment wrapText="1"/>
    </xf>
    <xf numFmtId="166" fontId="8" fillId="0" borderId="32" xfId="7" applyFont="1" applyBorder="1" applyAlignment="1">
      <alignment horizontal="center"/>
    </xf>
    <xf numFmtId="166" fontId="8" fillId="0" borderId="0" xfId="7" applyFont="1" applyAlignment="1">
      <alignment horizontal="center"/>
    </xf>
    <xf numFmtId="166" fontId="9" fillId="10" borderId="2" xfId="7" applyFont="1" applyFill="1" applyBorder="1" applyAlignment="1">
      <alignment horizontal="center" vertical="center" wrapText="1"/>
    </xf>
    <xf numFmtId="166" fontId="8" fillId="4" borderId="1" xfId="7" applyFont="1" applyFill="1" applyBorder="1" applyAlignment="1">
      <alignment horizontal="right"/>
    </xf>
    <xf numFmtId="166" fontId="9" fillId="10" borderId="1" xfId="7" applyFont="1" applyFill="1" applyBorder="1" applyAlignment="1">
      <alignment horizontal="right"/>
    </xf>
    <xf numFmtId="172" fontId="8" fillId="11" borderId="1" xfId="7" applyNumberFormat="1" applyFont="1" applyFill="1" applyBorder="1" applyAlignment="1">
      <alignment vertical="center" wrapText="1"/>
    </xf>
    <xf numFmtId="0" fontId="10" fillId="11" borderId="14" xfId="0" applyFont="1" applyFill="1" applyBorder="1" applyAlignment="1">
      <alignment horizontal="left" vertical="center"/>
    </xf>
    <xf numFmtId="0" fontId="10" fillId="11" borderId="16" xfId="0" applyFont="1" applyFill="1" applyBorder="1" applyAlignment="1">
      <alignment horizontal="left" vertical="center"/>
    </xf>
    <xf numFmtId="0" fontId="10" fillId="11" borderId="15" xfId="0" applyFont="1" applyFill="1" applyBorder="1" applyAlignment="1">
      <alignment horizontal="left" vertical="center"/>
    </xf>
    <xf numFmtId="0" fontId="10" fillId="9" borderId="14" xfId="0" applyFont="1" applyFill="1" applyBorder="1" applyAlignment="1">
      <alignment horizontal="left" vertical="center"/>
    </xf>
    <xf numFmtId="0" fontId="10" fillId="9" borderId="16" xfId="0" applyFont="1" applyFill="1" applyBorder="1" applyAlignment="1">
      <alignment horizontal="left" vertical="center"/>
    </xf>
    <xf numFmtId="0" fontId="10" fillId="9" borderId="15" xfId="0" applyFont="1" applyFill="1" applyBorder="1" applyAlignment="1">
      <alignment horizontal="left" vertical="center"/>
    </xf>
    <xf numFmtId="0" fontId="11" fillId="2" borderId="1" xfId="0" applyFont="1" applyFill="1" applyBorder="1" applyAlignment="1">
      <alignment horizontal="justify" vertical="center" wrapText="1"/>
    </xf>
    <xf numFmtId="170" fontId="10" fillId="2" borderId="1" xfId="7" applyNumberFormat="1" applyFont="1" applyFill="1" applyBorder="1" applyAlignment="1">
      <alignment horizontal="center" vertical="center"/>
    </xf>
    <xf numFmtId="0" fontId="9" fillId="2" borderId="29" xfId="0" applyFont="1" applyFill="1" applyBorder="1" applyAlignment="1">
      <alignment horizontal="center" vertical="center"/>
    </xf>
    <xf numFmtId="0" fontId="9" fillId="2" borderId="30" xfId="0" applyFont="1" applyFill="1" applyBorder="1" applyAlignment="1">
      <alignment horizontal="center" vertical="center"/>
    </xf>
    <xf numFmtId="0" fontId="9" fillId="2" borderId="31" xfId="0" applyFont="1" applyFill="1" applyBorder="1" applyAlignment="1">
      <alignment horizontal="center" vertical="center"/>
    </xf>
    <xf numFmtId="0" fontId="10" fillId="9" borderId="14" xfId="0" applyFont="1" applyFill="1" applyBorder="1" applyAlignment="1">
      <alignment horizontal="left" vertical="center" wrapText="1"/>
    </xf>
    <xf numFmtId="0" fontId="10" fillId="9" borderId="16" xfId="0" applyFont="1" applyFill="1" applyBorder="1" applyAlignment="1">
      <alignment horizontal="left" vertical="center" wrapText="1"/>
    </xf>
    <xf numFmtId="0" fontId="10" fillId="9" borderId="15" xfId="0" applyFont="1" applyFill="1" applyBorder="1" applyAlignment="1">
      <alignment horizontal="left" vertical="center" wrapText="1"/>
    </xf>
    <xf numFmtId="0" fontId="9" fillId="2" borderId="24"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xf>
    <xf numFmtId="0" fontId="9" fillId="2" borderId="32" xfId="0" applyFont="1" applyFill="1" applyBorder="1" applyAlignment="1">
      <alignment horizontal="center" vertical="center"/>
    </xf>
    <xf numFmtId="0" fontId="9" fillId="2" borderId="33"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34" xfId="0" applyFont="1" applyFill="1" applyBorder="1" applyAlignment="1">
      <alignment horizontal="center" vertical="center"/>
    </xf>
    <xf numFmtId="0" fontId="9" fillId="2" borderId="35" xfId="0" applyFont="1" applyFill="1" applyBorder="1" applyAlignment="1">
      <alignment horizontal="center" vertical="center"/>
    </xf>
    <xf numFmtId="2" fontId="9" fillId="9" borderId="36" xfId="0" applyNumberFormat="1" applyFont="1" applyFill="1" applyBorder="1" applyAlignment="1">
      <alignment horizontal="center" vertical="center"/>
    </xf>
    <xf numFmtId="2" fontId="9" fillId="9" borderId="37" xfId="0" applyNumberFormat="1" applyFont="1" applyFill="1" applyBorder="1" applyAlignment="1">
      <alignment horizontal="center" vertical="center"/>
    </xf>
    <xf numFmtId="2" fontId="9" fillId="9" borderId="38" xfId="0" applyNumberFormat="1" applyFont="1" applyFill="1" applyBorder="1" applyAlignment="1">
      <alignment horizontal="center" vertical="center"/>
    </xf>
    <xf numFmtId="0" fontId="9" fillId="9" borderId="4" xfId="0" applyFont="1" applyFill="1" applyBorder="1" applyAlignment="1">
      <alignment horizontal="center" vertical="center" wrapText="1"/>
    </xf>
    <xf numFmtId="0" fontId="9" fillId="9" borderId="47" xfId="0" applyFont="1" applyFill="1" applyBorder="1" applyAlignment="1">
      <alignment horizontal="center" vertical="center" wrapText="1"/>
    </xf>
    <xf numFmtId="0" fontId="9" fillId="9" borderId="5" xfId="0" applyFont="1" applyFill="1" applyBorder="1" applyAlignment="1">
      <alignment horizontal="center" vertical="center" wrapText="1"/>
    </xf>
    <xf numFmtId="0" fontId="9" fillId="9" borderId="2" xfId="0" applyFont="1" applyFill="1" applyBorder="1" applyAlignment="1">
      <alignment horizontal="center" vertical="center" wrapText="1"/>
    </xf>
    <xf numFmtId="0" fontId="9" fillId="2" borderId="0" xfId="0" applyFont="1" applyFill="1" applyAlignment="1">
      <alignment horizontal="center" vertical="center"/>
    </xf>
    <xf numFmtId="0" fontId="10" fillId="2" borderId="29" xfId="0" applyFont="1" applyFill="1" applyBorder="1" applyAlignment="1">
      <alignment horizontal="center" vertical="center"/>
    </xf>
    <xf numFmtId="0" fontId="10" fillId="2" borderId="30" xfId="0" applyFont="1" applyFill="1" applyBorder="1" applyAlignment="1">
      <alignment horizontal="center" vertical="center"/>
    </xf>
    <xf numFmtId="0" fontId="10" fillId="2" borderId="31" xfId="0" applyFont="1" applyFill="1" applyBorder="1" applyAlignment="1">
      <alignment horizontal="center" vertical="center"/>
    </xf>
    <xf numFmtId="0" fontId="9" fillId="2" borderId="5" xfId="0" applyFont="1" applyFill="1" applyBorder="1" applyAlignment="1">
      <alignment horizontal="center" wrapText="1"/>
    </xf>
    <xf numFmtId="0" fontId="9" fillId="2" borderId="6" xfId="0" applyFont="1" applyFill="1" applyBorder="1" applyAlignment="1">
      <alignment horizontal="center" wrapText="1"/>
    </xf>
    <xf numFmtId="0" fontId="9" fillId="9" borderId="10" xfId="0" applyFont="1" applyFill="1" applyBorder="1" applyAlignment="1">
      <alignment horizontal="center" vertical="center" wrapText="1"/>
    </xf>
    <xf numFmtId="0" fontId="9" fillId="9" borderId="1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0" borderId="4" xfId="0" applyFont="1" applyBorder="1" applyAlignment="1">
      <alignment horizontal="center" vertical="center"/>
    </xf>
    <xf numFmtId="0" fontId="9" fillId="0" borderId="32" xfId="0" applyFont="1" applyBorder="1" applyAlignment="1">
      <alignment horizontal="center" vertical="center"/>
    </xf>
    <xf numFmtId="0" fontId="9" fillId="0" borderId="33" xfId="0" applyFont="1" applyBorder="1" applyAlignment="1">
      <alignment horizontal="center" vertical="center"/>
    </xf>
    <xf numFmtId="0" fontId="10" fillId="9" borderId="4" xfId="0" applyFont="1" applyFill="1" applyBorder="1" applyAlignment="1">
      <alignment horizontal="center" vertical="center" wrapText="1"/>
    </xf>
    <xf numFmtId="0" fontId="10" fillId="9" borderId="32" xfId="0" applyFont="1" applyFill="1" applyBorder="1" applyAlignment="1">
      <alignment horizontal="center" vertical="center" wrapText="1"/>
    </xf>
    <xf numFmtId="0" fontId="10" fillId="9" borderId="33" xfId="0" applyFont="1" applyFill="1" applyBorder="1" applyAlignment="1">
      <alignment horizontal="center" vertical="center" wrapText="1"/>
    </xf>
    <xf numFmtId="0" fontId="10" fillId="9" borderId="7" xfId="0" applyFont="1" applyFill="1" applyBorder="1" applyAlignment="1">
      <alignment horizontal="center" vertical="center" wrapText="1"/>
    </xf>
    <xf numFmtId="0" fontId="10" fillId="9" borderId="34" xfId="0" applyFont="1" applyFill="1" applyBorder="1" applyAlignment="1">
      <alignment horizontal="center" vertical="center" wrapText="1"/>
    </xf>
    <xf numFmtId="0" fontId="10" fillId="9" borderId="35" xfId="0" applyFont="1" applyFill="1" applyBorder="1" applyAlignment="1">
      <alignment horizontal="center" vertical="center" wrapText="1"/>
    </xf>
    <xf numFmtId="0" fontId="10" fillId="2" borderId="29"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9" fillId="9" borderId="1" xfId="0" applyFont="1" applyFill="1" applyBorder="1" applyAlignment="1">
      <alignment horizontal="center" vertical="center"/>
    </xf>
    <xf numFmtId="166" fontId="9" fillId="2" borderId="7" xfId="7" applyFont="1" applyFill="1" applyBorder="1" applyAlignment="1">
      <alignment horizontal="center" vertical="center"/>
    </xf>
    <xf numFmtId="166" fontId="9" fillId="2" borderId="35" xfId="7" applyFont="1" applyFill="1" applyBorder="1" applyAlignment="1">
      <alignment horizontal="center" vertical="center"/>
    </xf>
    <xf numFmtId="0" fontId="9" fillId="0" borderId="29" xfId="0" applyFont="1" applyFill="1" applyBorder="1" applyAlignment="1">
      <alignment horizontal="center" vertical="center"/>
    </xf>
    <xf numFmtId="0" fontId="9" fillId="0" borderId="30" xfId="0" applyFont="1" applyFill="1" applyBorder="1" applyAlignment="1">
      <alignment horizontal="center" vertical="center"/>
    </xf>
    <xf numFmtId="0" fontId="9" fillId="0" borderId="31" xfId="0" applyFont="1" applyFill="1" applyBorder="1" applyAlignment="1">
      <alignment horizontal="center" vertical="center"/>
    </xf>
    <xf numFmtId="0" fontId="9" fillId="9" borderId="14" xfId="0" applyFont="1" applyFill="1" applyBorder="1" applyAlignment="1">
      <alignment horizontal="center" vertical="center" wrapText="1"/>
    </xf>
    <xf numFmtId="0" fontId="9" fillId="9" borderId="16" xfId="0" applyFont="1" applyFill="1" applyBorder="1" applyAlignment="1">
      <alignment horizontal="center" vertical="center" wrapText="1"/>
    </xf>
    <xf numFmtId="0" fontId="9" fillId="9" borderId="29" xfId="0" applyFont="1" applyFill="1" applyBorder="1" applyAlignment="1">
      <alignment horizontal="center" vertical="center" wrapText="1"/>
    </xf>
    <xf numFmtId="0" fontId="9" fillId="9" borderId="49"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31" xfId="0" applyFont="1" applyFill="1" applyBorder="1" applyAlignment="1">
      <alignment horizontal="center" vertical="center" wrapText="1"/>
    </xf>
    <xf numFmtId="0" fontId="8" fillId="11" borderId="2" xfId="0" applyFont="1" applyFill="1" applyBorder="1" applyAlignment="1">
      <alignment horizontal="center" vertical="center" wrapText="1"/>
    </xf>
    <xf numFmtId="0" fontId="8" fillId="11" borderId="23" xfId="0" applyFont="1" applyFill="1" applyBorder="1" applyAlignment="1">
      <alignment horizontal="center" vertical="center" wrapText="1"/>
    </xf>
    <xf numFmtId="0" fontId="8" fillId="11" borderId="3" xfId="0" applyFont="1" applyFill="1" applyBorder="1" applyAlignment="1">
      <alignment horizontal="center" vertical="center" wrapText="1"/>
    </xf>
    <xf numFmtId="0" fontId="8" fillId="11" borderId="2" xfId="0" applyFont="1" applyFill="1" applyBorder="1" applyAlignment="1">
      <alignment horizontal="center" vertical="center"/>
    </xf>
    <xf numFmtId="0" fontId="8" fillId="11" borderId="23" xfId="0" applyFont="1" applyFill="1" applyBorder="1" applyAlignment="1">
      <alignment horizontal="center" vertical="center"/>
    </xf>
    <xf numFmtId="0" fontId="8" fillId="11" borderId="3" xfId="0" applyFont="1" applyFill="1" applyBorder="1" applyAlignment="1">
      <alignment horizontal="center" vertical="center"/>
    </xf>
    <xf numFmtId="0" fontId="9" fillId="0" borderId="0" xfId="0" applyFont="1" applyAlignment="1">
      <alignment horizontal="center" vertical="center"/>
    </xf>
    <xf numFmtId="0" fontId="9" fillId="2" borderId="41" xfId="0" applyFont="1" applyFill="1" applyBorder="1" applyAlignment="1">
      <alignment horizontal="center" vertical="center"/>
    </xf>
    <xf numFmtId="0" fontId="9" fillId="2" borderId="42" xfId="0" applyFont="1" applyFill="1" applyBorder="1" applyAlignment="1">
      <alignment horizontal="center" vertical="center"/>
    </xf>
    <xf numFmtId="0" fontId="9" fillId="2" borderId="43" xfId="0" applyFont="1" applyFill="1" applyBorder="1" applyAlignment="1">
      <alignment horizontal="center" vertical="center"/>
    </xf>
    <xf numFmtId="0" fontId="9" fillId="9" borderId="14" xfId="0" applyFont="1" applyFill="1" applyBorder="1" applyAlignment="1">
      <alignment horizontal="center" vertical="center"/>
    </xf>
    <xf numFmtId="0" fontId="9" fillId="9" borderId="15" xfId="0" applyFont="1" applyFill="1" applyBorder="1" applyAlignment="1">
      <alignment horizontal="center" vertical="center"/>
    </xf>
    <xf numFmtId="170" fontId="9" fillId="9" borderId="1" xfId="7" applyNumberFormat="1" applyFont="1" applyFill="1" applyBorder="1" applyAlignment="1">
      <alignment horizontal="center" vertical="center"/>
    </xf>
    <xf numFmtId="170" fontId="9" fillId="9" borderId="0" xfId="7" applyNumberFormat="1" applyFont="1" applyFill="1" applyBorder="1" applyAlignment="1">
      <alignment horizontal="center"/>
    </xf>
    <xf numFmtId="2" fontId="9" fillId="9" borderId="29" xfId="0" applyNumberFormat="1" applyFont="1" applyFill="1" applyBorder="1" applyAlignment="1">
      <alignment horizontal="center" vertical="center" wrapText="1"/>
    </xf>
    <xf numFmtId="2" fontId="9" fillId="9" borderId="30" xfId="0" applyNumberFormat="1" applyFont="1" applyFill="1" applyBorder="1" applyAlignment="1">
      <alignment horizontal="center" vertical="center" wrapText="1"/>
    </xf>
    <xf numFmtId="0" fontId="9" fillId="2" borderId="29" xfId="0" applyFont="1" applyFill="1" applyBorder="1" applyAlignment="1">
      <alignment horizontal="center"/>
    </xf>
    <xf numFmtId="0" fontId="9" fillId="2" borderId="30" xfId="0" applyFont="1" applyFill="1" applyBorder="1" applyAlignment="1">
      <alignment horizontal="center"/>
    </xf>
    <xf numFmtId="0" fontId="8" fillId="9" borderId="1" xfId="0" applyFont="1" applyFill="1" applyBorder="1" applyAlignment="1">
      <alignment horizontal="left" vertical="center" wrapText="1"/>
    </xf>
    <xf numFmtId="0" fontId="9" fillId="9" borderId="19" xfId="0" applyFont="1" applyFill="1" applyBorder="1" applyAlignment="1">
      <alignment horizontal="center" vertical="center" wrapText="1"/>
    </xf>
    <xf numFmtId="0" fontId="9" fillId="9" borderId="18" xfId="0" applyFont="1" applyFill="1" applyBorder="1" applyAlignment="1">
      <alignment horizontal="center" vertical="center" wrapText="1"/>
    </xf>
    <xf numFmtId="0" fontId="9" fillId="9" borderId="20" xfId="0" applyFont="1" applyFill="1" applyBorder="1" applyAlignment="1">
      <alignment horizontal="center" vertical="center" wrapText="1"/>
    </xf>
    <xf numFmtId="0" fontId="9" fillId="9" borderId="21" xfId="0" applyFont="1" applyFill="1" applyBorder="1" applyAlignment="1">
      <alignment horizontal="center" vertical="center" wrapText="1"/>
    </xf>
    <xf numFmtId="0" fontId="8" fillId="11" borderId="14" xfId="0" applyFont="1" applyFill="1" applyBorder="1" applyAlignment="1">
      <alignment horizontal="left" vertical="center" wrapText="1"/>
    </xf>
    <xf numFmtId="0" fontId="8" fillId="11" borderId="15" xfId="0" applyFont="1" applyFill="1" applyBorder="1" applyAlignment="1">
      <alignment horizontal="left" vertical="center" wrapText="1"/>
    </xf>
    <xf numFmtId="0" fontId="9" fillId="9" borderId="1" xfId="0" applyFont="1" applyFill="1" applyBorder="1" applyAlignment="1">
      <alignment horizontal="center"/>
    </xf>
    <xf numFmtId="0" fontId="8" fillId="0" borderId="32" xfId="0" applyFont="1" applyBorder="1" applyAlignment="1">
      <alignment horizontal="center"/>
    </xf>
    <xf numFmtId="0" fontId="9" fillId="10" borderId="1"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8" borderId="29" xfId="0" applyFont="1" applyFill="1" applyBorder="1" applyAlignment="1">
      <alignment horizontal="center"/>
    </xf>
    <xf numFmtId="0" fontId="9" fillId="8" borderId="30" xfId="0" applyFont="1" applyFill="1" applyBorder="1" applyAlignment="1">
      <alignment horizontal="center"/>
    </xf>
    <xf numFmtId="0" fontId="9" fillId="8" borderId="31" xfId="0" applyFont="1" applyFill="1" applyBorder="1" applyAlignment="1">
      <alignment horizontal="center"/>
    </xf>
    <xf numFmtId="0" fontId="9" fillId="10" borderId="14" xfId="0" applyFont="1" applyFill="1" applyBorder="1" applyAlignment="1">
      <alignment horizontal="center" vertical="center" wrapText="1"/>
    </xf>
    <xf numFmtId="0" fontId="9" fillId="10" borderId="15" xfId="0" applyFont="1" applyFill="1" applyBorder="1" applyAlignment="1">
      <alignment horizontal="center" vertical="center" wrapText="1"/>
    </xf>
    <xf numFmtId="0" fontId="9" fillId="10" borderId="23" xfId="0" applyFont="1" applyFill="1" applyBorder="1" applyAlignment="1">
      <alignment horizontal="center" vertical="center" wrapText="1"/>
    </xf>
    <xf numFmtId="0" fontId="8" fillId="0" borderId="0" xfId="0" applyFont="1" applyAlignment="1">
      <alignment horizontal="center"/>
    </xf>
    <xf numFmtId="0" fontId="9" fillId="10" borderId="14" xfId="0" applyFont="1" applyFill="1" applyBorder="1" applyAlignment="1">
      <alignment horizontal="center"/>
    </xf>
    <xf numFmtId="0" fontId="9" fillId="10" borderId="16" xfId="0" applyFont="1" applyFill="1" applyBorder="1" applyAlignment="1">
      <alignment horizontal="center"/>
    </xf>
    <xf numFmtId="0" fontId="9" fillId="10" borderId="15" xfId="0" applyFont="1" applyFill="1" applyBorder="1" applyAlignment="1">
      <alignment horizontal="center"/>
    </xf>
    <xf numFmtId="0" fontId="9" fillId="8" borderId="29" xfId="0" applyFont="1" applyFill="1" applyBorder="1" applyAlignment="1">
      <alignment horizontal="center" vertical="center"/>
    </xf>
    <xf numFmtId="0" fontId="9" fillId="8" borderId="31" xfId="0" applyFont="1" applyFill="1" applyBorder="1" applyAlignment="1">
      <alignment horizontal="center" vertical="center"/>
    </xf>
    <xf numFmtId="0" fontId="8" fillId="4" borderId="1" xfId="0" applyFont="1" applyFill="1" applyBorder="1" applyAlignment="1">
      <alignment horizontal="center" vertical="center"/>
    </xf>
    <xf numFmtId="0" fontId="9" fillId="8" borderId="30" xfId="0" applyFont="1" applyFill="1" applyBorder="1" applyAlignment="1">
      <alignment horizontal="center" vertical="center"/>
    </xf>
    <xf numFmtId="0" fontId="8" fillId="4" borderId="2" xfId="0" applyFont="1" applyFill="1" applyBorder="1" applyAlignment="1">
      <alignment horizontal="center" vertical="center"/>
    </xf>
    <xf numFmtId="0" fontId="8" fillId="4" borderId="23" xfId="0" applyFont="1" applyFill="1" applyBorder="1" applyAlignment="1">
      <alignment horizontal="center" vertical="center"/>
    </xf>
    <xf numFmtId="0" fontId="8" fillId="4" borderId="3" xfId="0" applyFont="1" applyFill="1" applyBorder="1" applyAlignment="1">
      <alignment horizontal="center" vertical="center"/>
    </xf>
    <xf numFmtId="0" fontId="17" fillId="8" borderId="29" xfId="0" applyFont="1" applyFill="1" applyBorder="1" applyAlignment="1">
      <alignment horizontal="center" vertical="center"/>
    </xf>
    <xf numFmtId="0" fontId="17" fillId="8" borderId="30" xfId="0" applyFont="1" applyFill="1" applyBorder="1" applyAlignment="1">
      <alignment horizontal="center" vertical="center"/>
    </xf>
    <xf numFmtId="0" fontId="17" fillId="8" borderId="31" xfId="0" applyFont="1" applyFill="1" applyBorder="1" applyAlignment="1">
      <alignment horizontal="center" vertical="center"/>
    </xf>
    <xf numFmtId="0" fontId="17" fillId="8" borderId="1" xfId="0" applyFont="1" applyFill="1" applyBorder="1" applyAlignment="1">
      <alignment horizontal="center" vertical="center"/>
    </xf>
    <xf numFmtId="166" fontId="18" fillId="10" borderId="14" xfId="7" applyFont="1" applyFill="1" applyBorder="1" applyAlignment="1">
      <alignment horizontal="right" vertical="center"/>
    </xf>
    <xf numFmtId="166" fontId="18" fillId="10" borderId="16" xfId="7" applyFont="1" applyFill="1" applyBorder="1" applyAlignment="1">
      <alignment horizontal="right" vertical="center"/>
    </xf>
    <xf numFmtId="166" fontId="18" fillId="10" borderId="15" xfId="7" applyFont="1" applyFill="1" applyBorder="1" applyAlignment="1">
      <alignment horizontal="right" vertical="center"/>
    </xf>
    <xf numFmtId="170" fontId="17" fillId="10" borderId="2" xfId="7" applyNumberFormat="1" applyFont="1" applyFill="1" applyBorder="1" applyAlignment="1">
      <alignment horizontal="center" vertical="center"/>
    </xf>
    <xf numFmtId="170" fontId="17" fillId="10" borderId="3" xfId="7" applyNumberFormat="1" applyFont="1" applyFill="1" applyBorder="1" applyAlignment="1">
      <alignment horizontal="center" vertical="center"/>
    </xf>
    <xf numFmtId="0" fontId="9" fillId="10" borderId="2" xfId="0" applyFont="1" applyFill="1" applyBorder="1" applyAlignment="1">
      <alignment horizontal="center" vertical="center"/>
    </xf>
    <xf numFmtId="0" fontId="9" fillId="10" borderId="3" xfId="0" applyFont="1" applyFill="1" applyBorder="1" applyAlignment="1">
      <alignment horizontal="center" vertical="center"/>
    </xf>
    <xf numFmtId="0" fontId="9" fillId="10" borderId="1" xfId="0" applyFont="1" applyFill="1" applyBorder="1" applyAlignment="1">
      <alignment horizontal="center" vertical="center"/>
    </xf>
    <xf numFmtId="0" fontId="9" fillId="10" borderId="14" xfId="0" applyFont="1" applyFill="1" applyBorder="1" applyAlignment="1">
      <alignment horizontal="left" vertical="center"/>
    </xf>
    <xf numFmtId="0" fontId="9" fillId="10" borderId="16" xfId="0" applyFont="1" applyFill="1" applyBorder="1" applyAlignment="1">
      <alignment horizontal="left" vertical="center"/>
    </xf>
    <xf numFmtId="0" fontId="9" fillId="10" borderId="15" xfId="0" applyFont="1" applyFill="1" applyBorder="1" applyAlignment="1">
      <alignment horizontal="left" vertical="center"/>
    </xf>
    <xf numFmtId="166" fontId="8" fillId="0" borderId="32" xfId="7" applyFont="1" applyBorder="1" applyAlignment="1">
      <alignment horizontal="center"/>
    </xf>
    <xf numFmtId="166" fontId="9" fillId="10" borderId="14" xfId="7" applyFont="1" applyFill="1" applyBorder="1" applyAlignment="1">
      <alignment horizontal="center" vertical="center" wrapText="1"/>
    </xf>
    <xf numFmtId="166" fontId="9" fillId="10" borderId="15" xfId="7" applyFont="1" applyFill="1" applyBorder="1" applyAlignment="1">
      <alignment horizontal="center" vertical="center" wrapText="1"/>
    </xf>
    <xf numFmtId="166" fontId="9" fillId="8" borderId="29" xfId="7" applyFont="1" applyFill="1" applyBorder="1" applyAlignment="1">
      <alignment horizontal="center"/>
    </xf>
    <xf numFmtId="166" fontId="9" fillId="8" borderId="30" xfId="7" applyFont="1" applyFill="1" applyBorder="1" applyAlignment="1">
      <alignment horizontal="center"/>
    </xf>
    <xf numFmtId="166" fontId="9" fillId="8" borderId="31" xfId="7" applyFont="1" applyFill="1" applyBorder="1" applyAlignment="1">
      <alignment horizontal="center"/>
    </xf>
    <xf numFmtId="166" fontId="9" fillId="10" borderId="2" xfId="7" applyFont="1" applyFill="1" applyBorder="1" applyAlignment="1">
      <alignment horizontal="center" vertical="center" wrapText="1"/>
    </xf>
    <xf numFmtId="166" fontId="9" fillId="10" borderId="23" xfId="7" applyFont="1" applyFill="1" applyBorder="1" applyAlignment="1">
      <alignment horizontal="center" vertical="center" wrapText="1"/>
    </xf>
    <xf numFmtId="166" fontId="9" fillId="10" borderId="1" xfId="7" applyFont="1" applyFill="1" applyBorder="1" applyAlignment="1">
      <alignment horizontal="center" vertical="center" wrapText="1"/>
    </xf>
    <xf numFmtId="166" fontId="9" fillId="10" borderId="14" xfId="7" applyFont="1" applyFill="1" applyBorder="1" applyAlignment="1">
      <alignment horizontal="center"/>
    </xf>
    <xf numFmtId="166" fontId="9" fillId="10" borderId="16" xfId="7" applyFont="1" applyFill="1" applyBorder="1" applyAlignment="1">
      <alignment horizontal="center"/>
    </xf>
    <xf numFmtId="166" fontId="9" fillId="10" borderId="15" xfId="7" applyFont="1" applyFill="1" applyBorder="1" applyAlignment="1">
      <alignment horizontal="center"/>
    </xf>
    <xf numFmtId="166" fontId="9" fillId="8" borderId="29" xfId="7" applyFont="1" applyFill="1" applyBorder="1" applyAlignment="1">
      <alignment horizontal="center" vertical="center"/>
    </xf>
    <xf numFmtId="166" fontId="9" fillId="8" borderId="30" xfId="7" applyFont="1" applyFill="1" applyBorder="1" applyAlignment="1">
      <alignment horizontal="center" vertical="center"/>
    </xf>
    <xf numFmtId="166" fontId="9" fillId="8" borderId="31" xfId="7" applyFont="1" applyFill="1" applyBorder="1" applyAlignment="1">
      <alignment horizontal="center" vertical="center"/>
    </xf>
    <xf numFmtId="170" fontId="9" fillId="10" borderId="1" xfId="7" applyNumberFormat="1" applyFont="1" applyFill="1" applyBorder="1" applyAlignment="1">
      <alignment horizontal="center"/>
    </xf>
    <xf numFmtId="170" fontId="8" fillId="10" borderId="14" xfId="7" applyNumberFormat="1" applyFont="1" applyFill="1" applyBorder="1" applyAlignment="1">
      <alignment horizontal="center"/>
    </xf>
    <xf numFmtId="170" fontId="8" fillId="10" borderId="16" xfId="7" applyNumberFormat="1" applyFont="1" applyFill="1" applyBorder="1" applyAlignment="1">
      <alignment horizontal="center"/>
    </xf>
    <xf numFmtId="170" fontId="8" fillId="10" borderId="15" xfId="7" applyNumberFormat="1" applyFont="1" applyFill="1" applyBorder="1" applyAlignment="1">
      <alignment horizontal="center"/>
    </xf>
    <xf numFmtId="0" fontId="9" fillId="6" borderId="1" xfId="0" applyFont="1" applyFill="1" applyBorder="1" applyAlignment="1">
      <alignment horizontal="center" vertical="center"/>
    </xf>
    <xf numFmtId="0" fontId="9" fillId="7" borderId="29" xfId="0" applyFont="1" applyFill="1" applyBorder="1" applyAlignment="1">
      <alignment horizontal="center" vertical="center"/>
    </xf>
    <xf numFmtId="0" fontId="8" fillId="7" borderId="30" xfId="0" applyFont="1" applyFill="1" applyBorder="1" applyAlignment="1">
      <alignment horizontal="center" vertical="center"/>
    </xf>
    <xf numFmtId="0" fontId="8" fillId="7" borderId="31" xfId="0" applyFont="1" applyFill="1" applyBorder="1" applyAlignment="1">
      <alignment horizontal="center" vertical="center"/>
    </xf>
    <xf numFmtId="0" fontId="9" fillId="0" borderId="0" xfId="0" applyFont="1" applyAlignment="1">
      <alignment horizontal="center"/>
    </xf>
    <xf numFmtId="0" fontId="9" fillId="7" borderId="30" xfId="0" applyFont="1" applyFill="1" applyBorder="1" applyAlignment="1">
      <alignment horizontal="center" vertical="center"/>
    </xf>
    <xf numFmtId="0" fontId="9" fillId="7" borderId="31" xfId="0" applyFont="1" applyFill="1" applyBorder="1" applyAlignment="1">
      <alignment horizontal="center" vertical="center"/>
    </xf>
    <xf numFmtId="170" fontId="8" fillId="6" borderId="14" xfId="7" applyNumberFormat="1" applyFont="1" applyFill="1" applyBorder="1" applyAlignment="1">
      <alignment horizontal="center" vertical="center"/>
    </xf>
    <xf numFmtId="170" fontId="8" fillId="6" borderId="15" xfId="7" applyNumberFormat="1" applyFont="1" applyFill="1" applyBorder="1" applyAlignment="1">
      <alignment horizontal="center" vertical="center"/>
    </xf>
    <xf numFmtId="0" fontId="8" fillId="0" borderId="0" xfId="0" applyFont="1" applyAlignment="1">
      <alignment horizontal="left" vertical="center" wrapText="1"/>
    </xf>
    <xf numFmtId="0" fontId="9" fillId="6" borderId="14" xfId="0" applyFont="1" applyFill="1" applyBorder="1" applyAlignment="1">
      <alignment horizontal="center" vertical="center"/>
    </xf>
    <xf numFmtId="0" fontId="9" fillId="6" borderId="15" xfId="0" applyFont="1" applyFill="1" applyBorder="1" applyAlignment="1">
      <alignment horizontal="center" vertical="center"/>
    </xf>
    <xf numFmtId="0" fontId="9" fillId="6" borderId="1" xfId="0" applyFont="1" applyFill="1" applyBorder="1" applyAlignment="1">
      <alignment horizontal="center" vertical="center" wrapText="1"/>
    </xf>
    <xf numFmtId="0" fontId="8" fillId="0" borderId="0" xfId="0" applyFont="1" applyAlignment="1">
      <alignment horizontal="center" vertical="center"/>
    </xf>
    <xf numFmtId="0" fontId="21" fillId="0" borderId="36" xfId="0" applyFont="1" applyBorder="1" applyAlignment="1">
      <alignment horizontal="center"/>
    </xf>
    <xf numFmtId="0" fontId="21" fillId="0" borderId="37" xfId="0" applyFont="1" applyBorder="1" applyAlignment="1">
      <alignment horizontal="center"/>
    </xf>
    <xf numFmtId="0" fontId="21" fillId="0" borderId="38" xfId="0" applyFont="1" applyBorder="1" applyAlignment="1">
      <alignment horizontal="center"/>
    </xf>
    <xf numFmtId="0" fontId="19" fillId="0" borderId="19" xfId="3" applyFont="1" applyFill="1" applyBorder="1" applyAlignment="1">
      <alignment horizontal="center" vertical="center" wrapText="1"/>
    </xf>
    <xf numFmtId="0" fontId="19" fillId="0" borderId="18" xfId="3" applyFont="1" applyFill="1" applyBorder="1" applyAlignment="1">
      <alignment horizontal="center" vertical="center" wrapText="1"/>
    </xf>
    <xf numFmtId="0" fontId="19" fillId="0" borderId="20" xfId="3" applyFont="1" applyFill="1" applyBorder="1" applyAlignment="1">
      <alignment horizontal="center" vertical="center" wrapText="1"/>
    </xf>
    <xf numFmtId="0" fontId="19" fillId="0" borderId="21" xfId="3" applyFont="1" applyFill="1" applyBorder="1" applyAlignment="1">
      <alignment horizontal="center" vertical="center" wrapText="1"/>
    </xf>
    <xf numFmtId="0" fontId="0" fillId="0" borderId="0" xfId="0" applyAlignment="1">
      <alignment horizontal="justify" vertical="justify" wrapText="1"/>
    </xf>
    <xf numFmtId="0" fontId="8" fillId="0" borderId="22" xfId="0" applyFont="1" applyBorder="1" applyAlignment="1">
      <alignment horizontal="center" vertical="center"/>
    </xf>
    <xf numFmtId="0" fontId="8" fillId="0" borderId="17" xfId="0" applyFont="1" applyBorder="1" applyAlignment="1">
      <alignment horizontal="center" vertical="center"/>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10" fillId="0" borderId="29" xfId="0" applyFont="1" applyBorder="1" applyAlignment="1">
      <alignment horizontal="center"/>
    </xf>
    <xf numFmtId="0" fontId="10" fillId="0" borderId="30" xfId="0" applyFont="1" applyBorder="1" applyAlignment="1">
      <alignment horizontal="center"/>
    </xf>
    <xf numFmtId="0" fontId="10" fillId="0" borderId="31" xfId="0" applyFont="1" applyBorder="1" applyAlignment="1">
      <alignment horizontal="center"/>
    </xf>
    <xf numFmtId="44" fontId="8" fillId="0" borderId="54" xfId="8" applyFont="1" applyBorder="1" applyAlignment="1">
      <alignment horizontal="center" vertical="center"/>
    </xf>
    <xf numFmtId="44" fontId="8" fillId="0" borderId="55" xfId="8" applyFont="1" applyBorder="1" applyAlignment="1">
      <alignment horizontal="center" vertical="center"/>
    </xf>
    <xf numFmtId="0" fontId="8" fillId="0" borderId="14" xfId="3" quotePrefix="1" applyFont="1" applyFill="1" applyBorder="1" applyAlignment="1">
      <alignment horizontal="center"/>
    </xf>
    <xf numFmtId="0" fontId="8" fillId="0" borderId="16" xfId="3" applyFont="1" applyFill="1" applyBorder="1" applyAlignment="1">
      <alignment horizontal="center"/>
    </xf>
    <xf numFmtId="0" fontId="8" fillId="0" borderId="15" xfId="3" applyFont="1" applyFill="1" applyBorder="1" applyAlignment="1">
      <alignment horizontal="center"/>
    </xf>
    <xf numFmtId="8" fontId="8" fillId="0" borderId="29" xfId="0" applyNumberFormat="1" applyFont="1" applyBorder="1" applyAlignment="1">
      <alignment horizontal="center"/>
    </xf>
    <xf numFmtId="0" fontId="8" fillId="0" borderId="30" xfId="0" applyFont="1" applyBorder="1" applyAlignment="1">
      <alignment horizontal="center"/>
    </xf>
    <xf numFmtId="0" fontId="8" fillId="0" borderId="31" xfId="0" applyFont="1" applyBorder="1" applyAlignment="1">
      <alignment horizontal="center"/>
    </xf>
    <xf numFmtId="0" fontId="9" fillId="0" borderId="54" xfId="0" applyFont="1" applyBorder="1" applyAlignment="1">
      <alignment horizontal="center" vertical="center"/>
    </xf>
    <xf numFmtId="0" fontId="9" fillId="0" borderId="55" xfId="0" applyFont="1" applyBorder="1" applyAlignment="1">
      <alignment horizontal="center" vertical="center"/>
    </xf>
    <xf numFmtId="44" fontId="8" fillId="0" borderId="56" xfId="8" applyFont="1" applyBorder="1" applyAlignment="1">
      <alignment horizontal="center" vertical="center"/>
    </xf>
    <xf numFmtId="10" fontId="8" fillId="0" borderId="10" xfId="0" applyNumberFormat="1"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13"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21" fillId="0" borderId="54" xfId="0" applyFont="1" applyBorder="1" applyAlignment="1">
      <alignment horizontal="center" vertical="center"/>
    </xf>
    <xf numFmtId="0" fontId="21" fillId="0" borderId="55" xfId="0" applyFont="1" applyBorder="1" applyAlignment="1">
      <alignment horizontal="center" vertical="center"/>
    </xf>
    <xf numFmtId="44" fontId="20" fillId="0" borderId="57" xfId="0" applyNumberFormat="1" applyFont="1" applyBorder="1" applyAlignment="1">
      <alignment horizontal="center" vertical="center"/>
    </xf>
    <xf numFmtId="0" fontId="20" fillId="0" borderId="58" xfId="0" applyFont="1" applyBorder="1" applyAlignment="1">
      <alignment horizontal="center" vertical="center"/>
    </xf>
    <xf numFmtId="10" fontId="20" fillId="0" borderId="10" xfId="0" applyNumberFormat="1" applyFont="1" applyBorder="1" applyAlignment="1">
      <alignment horizontal="center" vertical="center"/>
    </xf>
    <xf numFmtId="0" fontId="20" fillId="0" borderId="5" xfId="0" applyFont="1" applyBorder="1" applyAlignment="1">
      <alignment horizontal="center" vertical="center"/>
    </xf>
    <xf numFmtId="0" fontId="20" fillId="0" borderId="6" xfId="0" applyFont="1" applyBorder="1" applyAlignment="1">
      <alignment horizontal="center" vertical="center"/>
    </xf>
    <xf numFmtId="0" fontId="20" fillId="0" borderId="13" xfId="0" applyFont="1" applyBorder="1" applyAlignment="1">
      <alignment horizontal="center" vertical="center"/>
    </xf>
    <xf numFmtId="0" fontId="20" fillId="0" borderId="8" xfId="0" applyFont="1" applyBorder="1" applyAlignment="1">
      <alignment horizontal="center" vertical="center"/>
    </xf>
    <xf numFmtId="0" fontId="20" fillId="0" borderId="9" xfId="0" applyFont="1" applyBorder="1" applyAlignment="1">
      <alignment horizontal="center" vertical="center"/>
    </xf>
    <xf numFmtId="0" fontId="20" fillId="0" borderId="54" xfId="0" applyFont="1" applyBorder="1" applyAlignment="1">
      <alignment horizontal="center" vertical="center"/>
    </xf>
    <xf numFmtId="0" fontId="20" fillId="0" borderId="55" xfId="0" applyFont="1" applyBorder="1" applyAlignment="1">
      <alignment horizontal="center" vertical="center"/>
    </xf>
    <xf numFmtId="0" fontId="20" fillId="0" borderId="22" xfId="0" applyFont="1" applyBorder="1" applyAlignment="1">
      <alignment horizontal="center" vertical="center"/>
    </xf>
    <xf numFmtId="0" fontId="20" fillId="0" borderId="17" xfId="0" applyFont="1" applyBorder="1" applyAlignment="1">
      <alignment horizontal="center" vertical="center"/>
    </xf>
    <xf numFmtId="0" fontId="20" fillId="0" borderId="10" xfId="0" quotePrefix="1" applyFont="1" applyBorder="1" applyAlignment="1">
      <alignment horizontal="center" vertical="center"/>
    </xf>
    <xf numFmtId="9" fontId="20" fillId="0" borderId="10" xfId="0" applyNumberFormat="1" applyFont="1" applyBorder="1" applyAlignment="1">
      <alignment horizontal="center" vertical="center"/>
    </xf>
    <xf numFmtId="0" fontId="21" fillId="0" borderId="1" xfId="0" applyFont="1" applyBorder="1" applyAlignment="1">
      <alignment horizontal="center" vertical="center" wrapText="1"/>
    </xf>
    <xf numFmtId="0" fontId="20" fillId="0" borderId="1" xfId="0" applyFont="1" applyBorder="1" applyAlignment="1">
      <alignment horizontal="center"/>
    </xf>
    <xf numFmtId="0" fontId="21" fillId="0" borderId="1" xfId="0" applyFont="1" applyBorder="1" applyAlignment="1">
      <alignment horizontal="center"/>
    </xf>
    <xf numFmtId="171" fontId="20" fillId="0" borderId="34" xfId="7" applyNumberFormat="1" applyFont="1" applyBorder="1" applyAlignment="1">
      <alignment horizontal="center" vertical="center"/>
    </xf>
    <xf numFmtId="171" fontId="20" fillId="0" borderId="35" xfId="7" applyNumberFormat="1" applyFont="1" applyBorder="1" applyAlignment="1">
      <alignment horizontal="center" vertical="center"/>
    </xf>
    <xf numFmtId="0" fontId="21" fillId="0" borderId="29"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3" fillId="0" borderId="0" xfId="0" applyFont="1" applyBorder="1" applyAlignment="1">
      <alignment horizontal="center"/>
    </xf>
    <xf numFmtId="0" fontId="23" fillId="0" borderId="59" xfId="0" applyFont="1" applyBorder="1" applyAlignment="1">
      <alignment horizontal="center"/>
    </xf>
    <xf numFmtId="0" fontId="20" fillId="0" borderId="22" xfId="0" applyFont="1" applyBorder="1" applyAlignment="1">
      <alignment horizontal="center" wrapText="1"/>
    </xf>
    <xf numFmtId="0" fontId="20" fillId="0" borderId="60" xfId="0" applyFont="1" applyBorder="1" applyAlignment="1">
      <alignment horizontal="center" wrapText="1"/>
    </xf>
    <xf numFmtId="0" fontId="20" fillId="0" borderId="0" xfId="0" applyFont="1" applyBorder="1" applyAlignment="1">
      <alignment horizontal="center" vertical="center"/>
    </xf>
    <xf numFmtId="166" fontId="24" fillId="0" borderId="0" xfId="7" applyFont="1" applyBorder="1" applyAlignment="1">
      <alignment horizontal="center" vertical="center"/>
    </xf>
    <xf numFmtId="166" fontId="24" fillId="0" borderId="59" xfId="7" applyFont="1" applyBorder="1" applyAlignment="1">
      <alignment horizontal="center" vertical="center"/>
    </xf>
    <xf numFmtId="0" fontId="20" fillId="0" borderId="0" xfId="0" applyFont="1" applyBorder="1" applyAlignment="1">
      <alignment horizontal="center"/>
    </xf>
    <xf numFmtId="0" fontId="24" fillId="0" borderId="0" xfId="0" applyFont="1" applyBorder="1" applyAlignment="1">
      <alignment horizontal="center"/>
    </xf>
    <xf numFmtId="0" fontId="24" fillId="0" borderId="59" xfId="0" applyFont="1" applyBorder="1" applyAlignment="1">
      <alignment horizontal="center"/>
    </xf>
    <xf numFmtId="0" fontId="21" fillId="0" borderId="0" xfId="0" applyFont="1" applyAlignment="1">
      <alignment horizontal="center"/>
    </xf>
    <xf numFmtId="0" fontId="0" fillId="0" borderId="0" xfId="0" applyAlignment="1">
      <alignment horizontal="center"/>
    </xf>
    <xf numFmtId="0" fontId="21" fillId="0" borderId="10" xfId="0" applyFont="1" applyBorder="1" applyAlignment="1">
      <alignment horizontal="center"/>
    </xf>
    <xf numFmtId="0" fontId="21" fillId="0" borderId="13" xfId="0" applyFont="1" applyBorder="1" applyAlignment="1">
      <alignment horizontal="center"/>
    </xf>
    <xf numFmtId="0" fontId="21" fillId="0" borderId="5" xfId="0" applyFont="1" applyBorder="1" applyAlignment="1">
      <alignment horizontal="center" wrapText="1"/>
    </xf>
    <xf numFmtId="0" fontId="21" fillId="0" borderId="8" xfId="0" applyFont="1" applyBorder="1" applyAlignment="1">
      <alignment horizontal="center" wrapText="1"/>
    </xf>
    <xf numFmtId="0" fontId="21" fillId="0" borderId="6" xfId="0" applyFont="1" applyBorder="1" applyAlignment="1">
      <alignment horizontal="center" wrapText="1"/>
    </xf>
    <xf numFmtId="0" fontId="20" fillId="0" borderId="9" xfId="0" applyFont="1" applyBorder="1" applyAlignment="1">
      <alignment horizontal="center" wrapText="1"/>
    </xf>
    <xf numFmtId="0" fontId="9" fillId="0" borderId="1" xfId="0" applyFont="1" applyBorder="1" applyAlignment="1">
      <alignment horizontal="center" vertical="center"/>
    </xf>
    <xf numFmtId="44" fontId="9" fillId="0" borderId="1" xfId="8" applyFont="1" applyBorder="1" applyAlignment="1">
      <alignment horizontal="center" vertical="center"/>
    </xf>
    <xf numFmtId="0" fontId="9" fillId="0" borderId="1" xfId="0" applyFont="1" applyBorder="1" applyAlignment="1">
      <alignment horizontal="center"/>
    </xf>
    <xf numFmtId="0" fontId="9" fillId="0" borderId="1" xfId="0" applyFont="1" applyBorder="1" applyAlignment="1">
      <alignment horizontal="center" wrapText="1"/>
    </xf>
    <xf numFmtId="0" fontId="9" fillId="0" borderId="14" xfId="0" applyFont="1" applyBorder="1" applyAlignment="1">
      <alignment horizontal="center"/>
    </xf>
    <xf numFmtId="0" fontId="9" fillId="0" borderId="16" xfId="0" applyFont="1" applyBorder="1" applyAlignment="1">
      <alignment horizontal="center"/>
    </xf>
    <xf numFmtId="0" fontId="9" fillId="0" borderId="15" xfId="0" applyFont="1" applyBorder="1" applyAlignment="1">
      <alignment horizontal="center"/>
    </xf>
    <xf numFmtId="0" fontId="8" fillId="0" borderId="1" xfId="0" applyFont="1" applyBorder="1" applyAlignment="1">
      <alignment horizontal="left"/>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9" fillId="0" borderId="14"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5" xfId="0" applyFont="1" applyBorder="1" applyAlignment="1">
      <alignment horizontal="center" vertical="center" wrapText="1"/>
    </xf>
    <xf numFmtId="0" fontId="8" fillId="0" borderId="19" xfId="0" applyFont="1" applyBorder="1" applyAlignment="1">
      <alignment horizontal="center" vertical="top" wrapText="1"/>
    </xf>
    <xf numFmtId="0" fontId="8" fillId="0" borderId="17" xfId="0" applyFont="1" applyBorder="1" applyAlignment="1">
      <alignment horizontal="center" vertical="top" wrapText="1"/>
    </xf>
    <xf numFmtId="0" fontId="8" fillId="0" borderId="18" xfId="0" applyFont="1" applyBorder="1" applyAlignment="1">
      <alignment horizontal="center" vertical="top" wrapText="1"/>
    </xf>
    <xf numFmtId="0" fontId="8" fillId="0" borderId="46" xfId="0" applyFont="1" applyBorder="1" applyAlignment="1">
      <alignment horizontal="center" vertical="top" wrapText="1"/>
    </xf>
    <xf numFmtId="0" fontId="8" fillId="0" borderId="0" xfId="0" applyFont="1" applyBorder="1" applyAlignment="1">
      <alignment horizontal="center" vertical="top" wrapText="1"/>
    </xf>
    <xf numFmtId="0" fontId="8" fillId="0" borderId="52" xfId="0" applyFont="1" applyBorder="1" applyAlignment="1">
      <alignment horizontal="center" vertical="top" wrapText="1"/>
    </xf>
    <xf numFmtId="0" fontId="8" fillId="0" borderId="14" xfId="0" applyFont="1" applyBorder="1" applyAlignment="1">
      <alignment horizontal="left" vertical="center" wrapText="1"/>
    </xf>
    <xf numFmtId="0" fontId="8" fillId="0" borderId="16" xfId="0" applyFont="1" applyBorder="1" applyAlignment="1">
      <alignment horizontal="left" vertical="center" wrapText="1"/>
    </xf>
    <xf numFmtId="0" fontId="8" fillId="0" borderId="15" xfId="0" applyFont="1" applyBorder="1" applyAlignment="1">
      <alignment horizontal="left" vertical="center" wrapText="1"/>
    </xf>
    <xf numFmtId="0" fontId="8" fillId="0" borderId="19" xfId="0" applyFont="1" applyBorder="1" applyAlignment="1">
      <alignment horizontal="left" vertical="center" wrapText="1"/>
    </xf>
    <xf numFmtId="0" fontId="8" fillId="0" borderId="17" xfId="0" applyFont="1" applyBorder="1" applyAlignment="1">
      <alignment horizontal="left" vertical="center" wrapText="1"/>
    </xf>
    <xf numFmtId="0" fontId="8" fillId="0" borderId="18" xfId="0" applyFont="1" applyBorder="1" applyAlignment="1">
      <alignment horizontal="left" vertical="center" wrapText="1"/>
    </xf>
    <xf numFmtId="0" fontId="8" fillId="0" borderId="1" xfId="0" applyFont="1" applyBorder="1" applyAlignment="1">
      <alignment horizontal="center"/>
    </xf>
    <xf numFmtId="166" fontId="8" fillId="0" borderId="1" xfId="7" applyFont="1" applyBorder="1" applyAlignment="1">
      <alignment horizontal="center"/>
    </xf>
    <xf numFmtId="0" fontId="9" fillId="0" borderId="1" xfId="0" applyFont="1" applyBorder="1" applyAlignment="1">
      <alignment horizontal="center" vertical="center" wrapText="1"/>
    </xf>
  </cellXfs>
  <cellStyles count="10">
    <cellStyle name="Euro" xfId="4" xr:uid="{00000000-0005-0000-0000-000000000000}"/>
    <cellStyle name="Hipervínculo" xfId="2" builtinId="8"/>
    <cellStyle name="Hipervínculo 2" xfId="5" xr:uid="{00000000-0005-0000-0000-000002000000}"/>
    <cellStyle name="Millares" xfId="7" builtinId="3"/>
    <cellStyle name="Moneda" xfId="8" builtinId="4"/>
    <cellStyle name="Moneda 2" xfId="9" xr:uid="{00000000-0005-0000-0000-000005000000}"/>
    <cellStyle name="Normal" xfId="0" builtinId="0"/>
    <cellStyle name="Normal 2" xfId="3" xr:uid="{00000000-0005-0000-0000-000007000000}"/>
    <cellStyle name="Normal 2 2" xfId="6" xr:uid="{00000000-0005-0000-0000-000008000000}"/>
    <cellStyle name="Porcentaje" xfId="1" builtinId="5"/>
  </cellStyles>
  <dxfs count="0"/>
  <tableStyles count="0" defaultTableStyle="TableStyleMedium2" defaultPivotStyle="PivotStyleLight16"/>
  <colors>
    <mruColors>
      <color rgb="FFFFE7F9"/>
      <color rgb="FFCCFFCC"/>
      <color rgb="FF4DA9FD"/>
      <color rgb="FFF3B5FD"/>
      <color rgb="FFFFCCFF"/>
      <color rgb="FFFF3399"/>
      <color rgb="FFFFFFCC"/>
      <color rgb="FFCCFF99"/>
      <color rgb="FFFFCC66"/>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INGRESOS</c:v>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dLbl>
              <c:idx val="1"/>
              <c:layout>
                <c:manualLayout>
                  <c:x val="-3.1633052604522244E-3"/>
                  <c:y val="2.3617816726418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CA-48EE-BB94-75588DA3275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xVal>
            <c:numRef>
              <c:f>'PE1'!$A$4:$A$6</c:f>
              <c:numCache>
                <c:formatCode>_-* #,##0.00\ _€_-;\-* #,##0.00\ _€_-;_-* "-"??\ _€_-;_-@_-</c:formatCode>
                <c:ptCount val="3"/>
                <c:pt idx="0">
                  <c:v>0</c:v>
                </c:pt>
                <c:pt idx="1">
                  <c:v>0</c:v>
                </c:pt>
                <c:pt idx="2">
                  <c:v>0</c:v>
                </c:pt>
              </c:numCache>
            </c:numRef>
          </c:xVal>
          <c:yVal>
            <c:numRef>
              <c:f>'PE1'!$B$4:$B$6</c:f>
              <c:numCache>
                <c:formatCode>_-* #,##0.00\ _€_-;\-* #,##0.00\ _€_-;_-* "-"??\ _€_-;_-@_-</c:formatCode>
                <c:ptCount val="3"/>
                <c:pt idx="0">
                  <c:v>0</c:v>
                </c:pt>
                <c:pt idx="1">
                  <c:v>30000</c:v>
                </c:pt>
                <c:pt idx="2">
                  <c:v>34650</c:v>
                </c:pt>
              </c:numCache>
            </c:numRef>
          </c:yVal>
          <c:smooth val="0"/>
          <c:extLst>
            <c:ext xmlns:c16="http://schemas.microsoft.com/office/drawing/2014/chart" uri="{C3380CC4-5D6E-409C-BE32-E72D297353CC}">
              <c16:uniqueId val="{00000000-54CA-48EE-BB94-75588DA32752}"/>
            </c:ext>
          </c:extLst>
        </c:ser>
        <c:ser>
          <c:idx val="1"/>
          <c:order val="1"/>
          <c:tx>
            <c:v>EGRESO VARIABLE</c:v>
          </c:tx>
          <c:spPr>
            <a:ln w="22225" cap="rnd">
              <a:solidFill>
                <a:schemeClr val="accent2"/>
              </a:solidFill>
              <a:round/>
            </a:ln>
            <a:effectLst/>
          </c:spPr>
          <c:marker>
            <c:symbol val="circle"/>
            <c:size val="5"/>
            <c:spPr>
              <a:solidFill>
                <a:schemeClr val="accent2"/>
              </a:solidFill>
              <a:ln w="9525">
                <a:solidFill>
                  <a:schemeClr val="accent2"/>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xVal>
            <c:numRef>
              <c:f>'PE1'!$A$4:$A$6</c:f>
              <c:numCache>
                <c:formatCode>_-* #,##0.00\ _€_-;\-* #,##0.00\ _€_-;_-* "-"??\ _€_-;_-@_-</c:formatCode>
                <c:ptCount val="3"/>
                <c:pt idx="0">
                  <c:v>0</c:v>
                </c:pt>
                <c:pt idx="1">
                  <c:v>0</c:v>
                </c:pt>
                <c:pt idx="2">
                  <c:v>0</c:v>
                </c:pt>
              </c:numCache>
            </c:numRef>
          </c:xVal>
          <c:yVal>
            <c:numRef>
              <c:f>'PE1'!$C$4:$C$6</c:f>
              <c:numCache>
                <c:formatCode>_-* #,##0.00\ _€_-;\-* #,##0.00\ _€_-;_-* "-"??\ _€_-;_-@_-</c:formatCode>
                <c:ptCount val="3"/>
                <c:pt idx="0">
                  <c:v>0</c:v>
                </c:pt>
                <c:pt idx="1">
                  <c:v>0</c:v>
                </c:pt>
                <c:pt idx="2">
                  <c:v>0</c:v>
                </c:pt>
              </c:numCache>
            </c:numRef>
          </c:yVal>
          <c:smooth val="0"/>
          <c:extLst>
            <c:ext xmlns:c16="http://schemas.microsoft.com/office/drawing/2014/chart" uri="{C3380CC4-5D6E-409C-BE32-E72D297353CC}">
              <c16:uniqueId val="{00000005-54CA-48EE-BB94-75588DA32752}"/>
            </c:ext>
          </c:extLst>
        </c:ser>
        <c:ser>
          <c:idx val="2"/>
          <c:order val="2"/>
          <c:tx>
            <c:v>EGRESO FIJO</c:v>
          </c:tx>
          <c:spPr>
            <a:ln w="22225" cap="rnd">
              <a:solidFill>
                <a:schemeClr val="accent3"/>
              </a:solidFill>
              <a:round/>
            </a:ln>
            <a:effectLst/>
          </c:spPr>
          <c:marker>
            <c:symbol val="circle"/>
            <c:size val="5"/>
            <c:spPr>
              <a:solidFill>
                <a:schemeClr val="accent3"/>
              </a:solidFill>
              <a:ln w="9525">
                <a:solidFill>
                  <a:schemeClr val="accent3"/>
                </a:solidFill>
                <a:round/>
              </a:ln>
              <a:effectLst/>
            </c:spPr>
          </c:marker>
          <c:xVal>
            <c:numRef>
              <c:f>'PE1'!$A$4:$A$6</c:f>
              <c:numCache>
                <c:formatCode>_-* #,##0.00\ _€_-;\-* #,##0.00\ _€_-;_-* "-"??\ _€_-;_-@_-</c:formatCode>
                <c:ptCount val="3"/>
                <c:pt idx="0">
                  <c:v>0</c:v>
                </c:pt>
                <c:pt idx="1">
                  <c:v>0</c:v>
                </c:pt>
                <c:pt idx="2">
                  <c:v>0</c:v>
                </c:pt>
              </c:numCache>
            </c:numRef>
          </c:xVal>
          <c:yVal>
            <c:numRef>
              <c:f>'PE1'!$D$4:$D$6</c:f>
              <c:numCache>
                <c:formatCode>_-* #,##0.00\ _€_-;\-* #,##0.00\ _€_-;_-* "-"??\ _€_-;_-@_-</c:formatCode>
                <c:ptCount val="3"/>
                <c:pt idx="0">
                  <c:v>31766</c:v>
                </c:pt>
                <c:pt idx="1">
                  <c:v>31766</c:v>
                </c:pt>
                <c:pt idx="2">
                  <c:v>31766</c:v>
                </c:pt>
              </c:numCache>
            </c:numRef>
          </c:yVal>
          <c:smooth val="0"/>
          <c:extLst>
            <c:ext xmlns:c16="http://schemas.microsoft.com/office/drawing/2014/chart" uri="{C3380CC4-5D6E-409C-BE32-E72D297353CC}">
              <c16:uniqueId val="{00000006-54CA-48EE-BB94-75588DA32752}"/>
            </c:ext>
          </c:extLst>
        </c:ser>
        <c:ser>
          <c:idx val="3"/>
          <c:order val="3"/>
          <c:tx>
            <c:v>EGRESO TOTAL</c:v>
          </c:tx>
          <c:spPr>
            <a:ln w="22225" cap="rnd">
              <a:solidFill>
                <a:schemeClr val="accent4"/>
              </a:solidFill>
              <a:round/>
            </a:ln>
            <a:effectLst/>
          </c:spPr>
          <c:marker>
            <c:symbol val="circle"/>
            <c:size val="5"/>
            <c:spPr>
              <a:solidFill>
                <a:schemeClr val="accent4"/>
              </a:solidFill>
              <a:ln w="9525">
                <a:solidFill>
                  <a:schemeClr val="accent4"/>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xVal>
            <c:numRef>
              <c:f>'PE1'!$A$4:$A$6</c:f>
              <c:numCache>
                <c:formatCode>_-* #,##0.00\ _€_-;\-* #,##0.00\ _€_-;_-* "-"??\ _€_-;_-@_-</c:formatCode>
                <c:ptCount val="3"/>
                <c:pt idx="0">
                  <c:v>0</c:v>
                </c:pt>
                <c:pt idx="1">
                  <c:v>0</c:v>
                </c:pt>
                <c:pt idx="2">
                  <c:v>0</c:v>
                </c:pt>
              </c:numCache>
            </c:numRef>
          </c:xVal>
          <c:yVal>
            <c:numRef>
              <c:f>'PE1'!$E$4:$E$6</c:f>
              <c:numCache>
                <c:formatCode>_-* #,##0.00\ _€_-;\-* #,##0.00\ _€_-;_-* "-"??\ _€_-;_-@_-</c:formatCode>
                <c:ptCount val="3"/>
                <c:pt idx="0">
                  <c:v>31766</c:v>
                </c:pt>
                <c:pt idx="1">
                  <c:v>0</c:v>
                </c:pt>
                <c:pt idx="2">
                  <c:v>0</c:v>
                </c:pt>
              </c:numCache>
            </c:numRef>
          </c:yVal>
          <c:smooth val="0"/>
          <c:extLst>
            <c:ext xmlns:c16="http://schemas.microsoft.com/office/drawing/2014/chart" uri="{C3380CC4-5D6E-409C-BE32-E72D297353CC}">
              <c16:uniqueId val="{00000007-54CA-48EE-BB94-75588DA32752}"/>
            </c:ext>
          </c:extLst>
        </c:ser>
        <c:dLbls>
          <c:showLegendKey val="0"/>
          <c:showVal val="0"/>
          <c:showCatName val="0"/>
          <c:showSerName val="0"/>
          <c:showPercent val="0"/>
          <c:showBubbleSize val="0"/>
        </c:dLbls>
        <c:axId val="230832896"/>
        <c:axId val="230833472"/>
      </c:scatterChart>
      <c:valAx>
        <c:axId val="2308328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EC"/>
                  <a:t>CANTIDAD</a:t>
                </a:r>
                <a:r>
                  <a:rPr lang="es-EC" baseline="0"/>
                  <a:t> DE PRODUCTOS</a:t>
                </a:r>
                <a:endParaRPr lang="es-EC"/>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EC"/>
            </a:p>
          </c:txPr>
        </c:title>
        <c:numFmt formatCode="_-* #,##0.00\ _€_-;\-* #,##0.00\ _€_-;_-* &quot;-&quot;??\ _€_-;_-@_-"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230833472"/>
        <c:crosses val="autoZero"/>
        <c:crossBetween val="midCat"/>
      </c:valAx>
      <c:valAx>
        <c:axId val="230833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EC" b="1"/>
                  <a:t>INGRESOS</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EC"/>
            </a:p>
          </c:txPr>
        </c:title>
        <c:numFmt formatCode="_-* #,##0.00\ _€_-;\-* #,##0.00\ _€_-;_-* &quot;-&quot;??\ _€_-;_-@_-"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crossAx val="230832896"/>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C"/>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C"/>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2</xdr:row>
      <xdr:rowOff>114300</xdr:rowOff>
    </xdr:to>
    <xdr:sp macro="" textlink="">
      <xdr:nvSpPr>
        <xdr:cNvPr id="22529" name="AutoShape 1" descr="Resultado de imagen para COSTO">
          <a:extLst>
            <a:ext uri="{FF2B5EF4-FFF2-40B4-BE49-F238E27FC236}">
              <a16:creationId xmlns:a16="http://schemas.microsoft.com/office/drawing/2014/main" id="{00000000-0008-0000-1200-000001580000}"/>
            </a:ext>
          </a:extLst>
        </xdr:cNvPr>
        <xdr:cNvSpPr>
          <a:spLocks noChangeAspect="1" noChangeArrowheads="1"/>
        </xdr:cNvSpPr>
      </xdr:nvSpPr>
      <xdr:spPr bwMode="auto">
        <a:xfrm>
          <a:off x="0" y="257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xdr:row>
      <xdr:rowOff>0</xdr:rowOff>
    </xdr:from>
    <xdr:to>
      <xdr:col>1</xdr:col>
      <xdr:colOff>304800</xdr:colOff>
      <xdr:row>2</xdr:row>
      <xdr:rowOff>114300</xdr:rowOff>
    </xdr:to>
    <xdr:sp macro="" textlink="">
      <xdr:nvSpPr>
        <xdr:cNvPr id="22530" name="AutoShape 2" descr="Resultado de imagen para COSTO">
          <a:extLst>
            <a:ext uri="{FF2B5EF4-FFF2-40B4-BE49-F238E27FC236}">
              <a16:creationId xmlns:a16="http://schemas.microsoft.com/office/drawing/2014/main" id="{00000000-0008-0000-1200-000002580000}"/>
            </a:ext>
          </a:extLst>
        </xdr:cNvPr>
        <xdr:cNvSpPr>
          <a:spLocks noChangeAspect="1" noChangeArrowheads="1"/>
        </xdr:cNvSpPr>
      </xdr:nvSpPr>
      <xdr:spPr bwMode="auto">
        <a:xfrm>
          <a:off x="2447925" y="257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xdr:col>
      <xdr:colOff>304800</xdr:colOff>
      <xdr:row>14</xdr:row>
      <xdr:rowOff>114300</xdr:rowOff>
    </xdr:to>
    <xdr:sp macro="" textlink="">
      <xdr:nvSpPr>
        <xdr:cNvPr id="27649" name="AutoShape 1" descr="Resultado de imagen para gasto dibujos">
          <a:extLst>
            <a:ext uri="{FF2B5EF4-FFF2-40B4-BE49-F238E27FC236}">
              <a16:creationId xmlns:a16="http://schemas.microsoft.com/office/drawing/2014/main" id="{00000000-0008-0000-1700-0000016C0000}"/>
            </a:ext>
          </a:extLst>
        </xdr:cNvPr>
        <xdr:cNvSpPr>
          <a:spLocks noChangeAspect="1" noChangeArrowheads="1"/>
        </xdr:cNvSpPr>
      </xdr:nvSpPr>
      <xdr:spPr bwMode="auto">
        <a:xfrm>
          <a:off x="1981200" y="266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8</xdr:col>
      <xdr:colOff>76200</xdr:colOff>
      <xdr:row>5</xdr:row>
      <xdr:rowOff>1438275</xdr:rowOff>
    </xdr:from>
    <xdr:ext cx="1410579" cy="358560"/>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97EA9B9B-3578-4CA7-8EA2-78E67330B2BF}"/>
                </a:ext>
              </a:extLst>
            </xdr:cNvPr>
            <xdr:cNvSpPr txBox="1"/>
          </xdr:nvSpPr>
          <xdr:spPr>
            <a:xfrm>
              <a:off x="8782050" y="2581275"/>
              <a:ext cx="1410579" cy="358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ES" sz="1100" b="0" i="1">
                        <a:latin typeface="Cambria Math" panose="02040503050406030204" pitchFamily="18" charset="0"/>
                      </a:rPr>
                      <m:t>𝑀</m:t>
                    </m:r>
                    <m:r>
                      <a:rPr lang="es-ES" sz="1100" b="0" i="1">
                        <a:latin typeface="Cambria Math" panose="02040503050406030204" pitchFamily="18" charset="0"/>
                      </a:rPr>
                      <m:t>=</m:t>
                    </m:r>
                    <m:r>
                      <a:rPr lang="es-ES" sz="1100" b="0" i="1">
                        <a:latin typeface="Cambria Math" panose="02040503050406030204" pitchFamily="18" charset="0"/>
                      </a:rPr>
                      <m:t>𝐶</m:t>
                    </m:r>
                    <m:r>
                      <a:rPr lang="es-ES" sz="1100" b="0" i="1">
                        <a:latin typeface="Cambria Math" panose="02040503050406030204" pitchFamily="18" charset="0"/>
                      </a:rPr>
                      <m:t>∗</m:t>
                    </m:r>
                    <m:f>
                      <m:fPr>
                        <m:ctrlPr>
                          <a:rPr lang="es-ES" sz="1100" b="0" i="1">
                            <a:latin typeface="Cambria Math" panose="02040503050406030204" pitchFamily="18" charset="0"/>
                          </a:rPr>
                        </m:ctrlPr>
                      </m:fPr>
                      <m:num>
                        <m:r>
                          <a:rPr lang="es-ES" sz="1100" b="0" i="1">
                            <a:solidFill>
                              <a:schemeClr val="tx1"/>
                            </a:solidFill>
                            <a:effectLst/>
                            <a:latin typeface="Cambria Math" panose="02040503050406030204" pitchFamily="18" charset="0"/>
                            <a:ea typeface="+mn-ea"/>
                            <a:cs typeface="+mn-cs"/>
                          </a:rPr>
                          <m:t>(</m:t>
                        </m:r>
                        <m:r>
                          <a:rPr lang="es-ES" sz="1100" b="0" i="1">
                            <a:solidFill>
                              <a:schemeClr val="tx1"/>
                            </a:solidFill>
                            <a:effectLst/>
                            <a:latin typeface="Cambria Math" panose="02040503050406030204" pitchFamily="18" charset="0"/>
                            <a:ea typeface="+mn-ea"/>
                            <a:cs typeface="+mn-cs"/>
                          </a:rPr>
                          <m:t>𝑖</m:t>
                        </m:r>
                        <m:sSup>
                          <m:sSupPr>
                            <m:ctrlPr>
                              <a:rPr lang="es-ES" sz="1100" b="0" i="1">
                                <a:solidFill>
                                  <a:schemeClr val="tx1"/>
                                </a:solidFill>
                                <a:effectLst/>
                                <a:latin typeface="Cambria Math" panose="02040503050406030204" pitchFamily="18" charset="0"/>
                                <a:ea typeface="+mn-ea"/>
                                <a:cs typeface="+mn-cs"/>
                              </a:rPr>
                            </m:ctrlPr>
                          </m:sSupPr>
                          <m:e>
                            <m:d>
                              <m:dPr>
                                <m:ctrlPr>
                                  <a:rPr lang="es-ES" sz="1100" b="0" i="1">
                                    <a:solidFill>
                                      <a:schemeClr val="tx1"/>
                                    </a:solidFill>
                                    <a:effectLst/>
                                    <a:latin typeface="Cambria Math" panose="02040503050406030204" pitchFamily="18" charset="0"/>
                                    <a:ea typeface="+mn-ea"/>
                                    <a:cs typeface="+mn-cs"/>
                                  </a:rPr>
                                </m:ctrlPr>
                              </m:dPr>
                              <m:e>
                                <m:r>
                                  <a:rPr lang="es-ES" sz="1100" b="0" i="1">
                                    <a:solidFill>
                                      <a:schemeClr val="tx1"/>
                                    </a:solidFill>
                                    <a:effectLst/>
                                    <a:latin typeface="Cambria Math" panose="02040503050406030204" pitchFamily="18" charset="0"/>
                                    <a:ea typeface="+mn-ea"/>
                                    <a:cs typeface="+mn-cs"/>
                                  </a:rPr>
                                  <m:t>1+</m:t>
                                </m:r>
                                <m:r>
                                  <a:rPr lang="es-ES" sz="1100" b="0" i="1">
                                    <a:solidFill>
                                      <a:schemeClr val="tx1"/>
                                    </a:solidFill>
                                    <a:effectLst/>
                                    <a:latin typeface="Cambria Math" panose="02040503050406030204" pitchFamily="18" charset="0"/>
                                    <a:ea typeface="+mn-ea"/>
                                    <a:cs typeface="+mn-cs"/>
                                  </a:rPr>
                                  <m:t>𝑖</m:t>
                                </m:r>
                              </m:e>
                            </m:d>
                          </m:e>
                          <m:sup>
                            <m:r>
                              <a:rPr lang="es-ES" sz="1100" b="0" i="1">
                                <a:solidFill>
                                  <a:schemeClr val="tx1"/>
                                </a:solidFill>
                                <a:effectLst/>
                                <a:latin typeface="Cambria Math" panose="02040503050406030204" pitchFamily="18" charset="0"/>
                                <a:ea typeface="+mn-ea"/>
                                <a:cs typeface="+mn-cs"/>
                              </a:rPr>
                              <m:t>𝑛</m:t>
                            </m:r>
                          </m:sup>
                        </m:sSup>
                        <m:r>
                          <a:rPr lang="es-ES" sz="1100" b="0" i="1">
                            <a:solidFill>
                              <a:schemeClr val="tx1"/>
                            </a:solidFill>
                            <a:effectLst/>
                            <a:latin typeface="Cambria Math" panose="02040503050406030204" pitchFamily="18" charset="0"/>
                            <a:ea typeface="+mn-ea"/>
                            <a:cs typeface="+mn-cs"/>
                          </a:rPr>
                          <m:t>)</m:t>
                        </m:r>
                      </m:num>
                      <m:den>
                        <m:r>
                          <a:rPr lang="es-ES" sz="1100" b="0" i="1">
                            <a:latin typeface="Cambria Math" panose="02040503050406030204" pitchFamily="18" charset="0"/>
                          </a:rPr>
                          <m:t>(</m:t>
                        </m:r>
                        <m:sSup>
                          <m:sSupPr>
                            <m:ctrlPr>
                              <a:rPr lang="es-ES" sz="1100" b="0" i="1">
                                <a:latin typeface="Cambria Math" panose="02040503050406030204" pitchFamily="18" charset="0"/>
                              </a:rPr>
                            </m:ctrlPr>
                          </m:sSupPr>
                          <m:e>
                            <m:d>
                              <m:dPr>
                                <m:ctrlPr>
                                  <a:rPr lang="es-ES" sz="1100" b="0" i="1">
                                    <a:latin typeface="Cambria Math" panose="02040503050406030204" pitchFamily="18" charset="0"/>
                                  </a:rPr>
                                </m:ctrlPr>
                              </m:dPr>
                              <m:e>
                                <m:r>
                                  <a:rPr lang="es-ES" sz="1100" b="0" i="1">
                                    <a:latin typeface="Cambria Math" panose="02040503050406030204" pitchFamily="18" charset="0"/>
                                  </a:rPr>
                                  <m:t>1+</m:t>
                                </m:r>
                                <m:r>
                                  <a:rPr lang="es-ES" sz="1100" b="0" i="1">
                                    <a:latin typeface="Cambria Math" panose="02040503050406030204" pitchFamily="18" charset="0"/>
                                  </a:rPr>
                                  <m:t>𝑖</m:t>
                                </m:r>
                              </m:e>
                            </m:d>
                          </m:e>
                          <m:sup>
                            <m:r>
                              <a:rPr lang="es-ES" sz="1100" b="0" i="1">
                                <a:latin typeface="Cambria Math" panose="02040503050406030204" pitchFamily="18" charset="0"/>
                              </a:rPr>
                              <m:t>𝑛</m:t>
                            </m:r>
                          </m:sup>
                        </m:sSup>
                        <m:r>
                          <a:rPr lang="es-ES" sz="1100" b="0" i="1">
                            <a:latin typeface="Cambria Math" panose="02040503050406030204" pitchFamily="18" charset="0"/>
                          </a:rPr>
                          <m:t>−1)</m:t>
                        </m:r>
                      </m:den>
                    </m:f>
                  </m:oMath>
                </m:oMathPara>
              </a14:m>
              <a:endParaRPr lang="es-ES" sz="1100"/>
            </a:p>
          </xdr:txBody>
        </xdr:sp>
      </mc:Choice>
      <mc:Fallback xmlns="">
        <xdr:sp macro="" textlink="">
          <xdr:nvSpPr>
            <xdr:cNvPr id="4" name="CuadroTexto 3">
              <a:extLst>
                <a:ext uri="{FF2B5EF4-FFF2-40B4-BE49-F238E27FC236}">
                  <a16:creationId xmlns:a16="http://schemas.microsoft.com/office/drawing/2014/main" id="{97EA9B9B-3578-4CA7-8EA2-78E67330B2BF}"/>
                </a:ext>
              </a:extLst>
            </xdr:cNvPr>
            <xdr:cNvSpPr txBox="1"/>
          </xdr:nvSpPr>
          <xdr:spPr>
            <a:xfrm>
              <a:off x="8782050" y="2581275"/>
              <a:ext cx="1410579" cy="358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100" b="0" i="0">
                  <a:latin typeface="Cambria Math" panose="02040503050406030204" pitchFamily="18" charset="0"/>
                </a:rPr>
                <a:t>𝑀=𝐶∗(</a:t>
              </a:r>
              <a:r>
                <a:rPr lang="es-ES" sz="1100" b="0" i="0">
                  <a:solidFill>
                    <a:schemeClr val="tx1"/>
                  </a:solidFill>
                  <a:effectLst/>
                  <a:latin typeface="+mn-lt"/>
                  <a:ea typeface="+mn-ea"/>
                  <a:cs typeface="+mn-cs"/>
                </a:rPr>
                <a:t>(𝑖(1+𝑖)^𝑛)</a:t>
              </a:r>
              <a:r>
                <a:rPr lang="es-ES" sz="1100" b="0" i="0">
                  <a:solidFill>
                    <a:schemeClr val="tx1"/>
                  </a:solidFill>
                  <a:effectLst/>
                  <a:latin typeface="Cambria Math" panose="02040503050406030204" pitchFamily="18" charset="0"/>
                  <a:ea typeface="+mn-ea"/>
                  <a:cs typeface="+mn-cs"/>
                </a:rPr>
                <a:t>)/(</a:t>
              </a:r>
              <a:r>
                <a:rPr lang="es-ES" sz="1100" b="0" i="0">
                  <a:latin typeface="Cambria Math" panose="02040503050406030204" pitchFamily="18" charset="0"/>
                </a:rPr>
                <a:t>((1+𝑖)^𝑛−1))</a:t>
              </a:r>
              <a:endParaRPr lang="es-ES" sz="1100"/>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twoCellAnchor>
    <xdr:from>
      <xdr:col>0</xdr:col>
      <xdr:colOff>95249</xdr:colOff>
      <xdr:row>9</xdr:row>
      <xdr:rowOff>47624</xdr:rowOff>
    </xdr:from>
    <xdr:to>
      <xdr:col>8</xdr:col>
      <xdr:colOff>247650</xdr:colOff>
      <xdr:row>37</xdr:row>
      <xdr:rowOff>95250</xdr:rowOff>
    </xdr:to>
    <xdr:graphicFrame macro="">
      <xdr:nvGraphicFramePr>
        <xdr:cNvPr id="3" name="Gráfico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1</xdr:col>
      <xdr:colOff>661384</xdr:colOff>
      <xdr:row>15</xdr:row>
      <xdr:rowOff>149225</xdr:rowOff>
    </xdr:from>
    <xdr:ext cx="1453166" cy="24134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300-000002000000}"/>
                </a:ext>
              </a:extLst>
            </xdr:cNvPr>
            <xdr:cNvSpPr txBox="1"/>
          </xdr:nvSpPr>
          <xdr:spPr>
            <a:xfrm>
              <a:off x="4566634" y="6264275"/>
              <a:ext cx="1453166" cy="2413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EC" sz="1100"/>
                <a:t>PRI</a:t>
              </a:r>
              <a:r>
                <a:rPr lang="es-EC" sz="1100" baseline="0"/>
                <a:t> </a:t>
              </a:r>
              <a14:m>
                <m:oMath xmlns:m="http://schemas.openxmlformats.org/officeDocument/2006/math">
                  <m:r>
                    <a:rPr lang="es-EC" sz="1100" i="1">
                      <a:latin typeface="Cambria Math" panose="02040503050406030204" pitchFamily="18" charset="0"/>
                    </a:rPr>
                    <m:t>=</m:t>
                  </m:r>
                  <m:f>
                    <m:fPr>
                      <m:ctrlPr>
                        <a:rPr lang="es-EC" sz="1100" i="1">
                          <a:latin typeface="Cambria Math" panose="02040503050406030204" pitchFamily="18" charset="0"/>
                        </a:rPr>
                      </m:ctrlPr>
                    </m:fPr>
                    <m:num>
                      <m:r>
                        <a:rPr lang="es-EC" sz="1100" b="0" i="1">
                          <a:latin typeface="Cambria Math" panose="02040503050406030204" pitchFamily="18" charset="0"/>
                        </a:rPr>
                        <m:t>𝐼𝐼</m:t>
                      </m:r>
                      <m:r>
                        <a:rPr lang="es-EC" sz="1100" b="0" i="1">
                          <a:latin typeface="Cambria Math" panose="02040503050406030204" pitchFamily="18" charset="0"/>
                        </a:rPr>
                        <m:t> −</m:t>
                      </m:r>
                      <m:r>
                        <a:rPr lang="es-EC" sz="1100" b="0" i="1">
                          <a:latin typeface="Cambria Math" panose="02040503050406030204" pitchFamily="18" charset="0"/>
                        </a:rPr>
                        <m:t>𝐹𝐴𝑀𝐼</m:t>
                      </m:r>
                      <m:r>
                        <a:rPr lang="es-EC" sz="1100" b="0" i="1">
                          <a:latin typeface="Cambria Math" panose="02040503050406030204" pitchFamily="18" charset="0"/>
                        </a:rPr>
                        <m:t> </m:t>
                      </m:r>
                    </m:num>
                    <m:den>
                      <m:r>
                        <a:rPr lang="es-EC" sz="1100" b="0" i="1">
                          <a:latin typeface="Cambria Math" panose="02040503050406030204" pitchFamily="18" charset="0"/>
                        </a:rPr>
                        <m:t>𝐹𝐴𝑆</m:t>
                      </m:r>
                    </m:den>
                  </m:f>
                </m:oMath>
              </a14:m>
              <a:r>
                <a:rPr lang="es-EC" sz="1100"/>
                <a:t>  + AT </a:t>
              </a:r>
            </a:p>
          </xdr:txBody>
        </xdr:sp>
      </mc:Choice>
      <mc:Fallback xmlns="">
        <xdr:sp macro="" textlink="">
          <xdr:nvSpPr>
            <xdr:cNvPr id="2" name="CuadroTexto 1"/>
            <xdr:cNvSpPr txBox="1"/>
          </xdr:nvSpPr>
          <xdr:spPr>
            <a:xfrm>
              <a:off x="4566634" y="6264275"/>
              <a:ext cx="1453166" cy="2413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EC" sz="1100"/>
                <a:t>PRI</a:t>
              </a:r>
              <a:r>
                <a:rPr lang="es-EC" sz="1100" baseline="0"/>
                <a:t> </a:t>
              </a:r>
              <a:r>
                <a:rPr lang="es-EC" sz="1100" i="0">
                  <a:latin typeface="Cambria Math" panose="02040503050406030204" pitchFamily="18" charset="0"/>
                </a:rPr>
                <a:t>=(</a:t>
              </a:r>
              <a:r>
                <a:rPr lang="es-EC" sz="1100" b="0" i="0">
                  <a:latin typeface="Cambria Math" panose="02040503050406030204" pitchFamily="18" charset="0"/>
                </a:rPr>
                <a:t>𝐼𝐼 −𝐹𝐴𝑀𝐼 )/𝐹𝐴𝑆</a:t>
              </a:r>
              <a:r>
                <a:rPr lang="es-EC" sz="1100"/>
                <a:t>  + AT </a:t>
              </a:r>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oneCellAnchor>
    <xdr:from>
      <xdr:col>3</xdr:col>
      <xdr:colOff>133350</xdr:colOff>
      <xdr:row>9</xdr:row>
      <xdr:rowOff>180975</xdr:rowOff>
    </xdr:from>
    <xdr:ext cx="4057651" cy="89535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400-000002000000}"/>
                </a:ext>
              </a:extLst>
            </xdr:cNvPr>
            <xdr:cNvSpPr txBox="1"/>
          </xdr:nvSpPr>
          <xdr:spPr>
            <a:xfrm>
              <a:off x="4162425" y="2181225"/>
              <a:ext cx="4057651" cy="895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endParaRPr lang="es-EC" sz="1100" i="0">
                <a:latin typeface="+mn-lt"/>
              </a:endParaRPr>
            </a:p>
            <a:p>
              <a:r>
                <a:rPr lang="es-EC" sz="1100" i="0">
                  <a:latin typeface="+mn-lt"/>
                </a:rPr>
                <a:t>RB</a:t>
              </a:r>
              <a:r>
                <a:rPr lang="es-EC" sz="1100" i="0" baseline="0">
                  <a:latin typeface="+mn-lt"/>
                </a:rPr>
                <a:t> / C </a:t>
              </a:r>
              <a14:m>
                <m:oMath xmlns:m="http://schemas.openxmlformats.org/officeDocument/2006/math">
                  <m:r>
                    <a:rPr lang="es-EC" sz="1100" i="1">
                      <a:latin typeface="Cambria Math" panose="02040503050406030204" pitchFamily="18" charset="0"/>
                    </a:rPr>
                    <m:t>=</m:t>
                  </m:r>
                  <m:nary>
                    <m:naryPr>
                      <m:chr m:val="∑"/>
                      <m:ctrlPr>
                        <a:rPr lang="es-EC" sz="1100" i="1">
                          <a:latin typeface="Cambria Math" panose="02040503050406030204" pitchFamily="18" charset="0"/>
                        </a:rPr>
                      </m:ctrlPr>
                    </m:naryPr>
                    <m:sub>
                      <m:r>
                        <m:rPr>
                          <m:brk m:alnAt="23"/>
                        </m:rPr>
                        <a:rPr lang="es-EC" sz="1100" b="0" i="1">
                          <a:latin typeface="Cambria Math" panose="02040503050406030204" pitchFamily="18" charset="0"/>
                        </a:rPr>
                        <m:t>𝑡</m:t>
                      </m:r>
                      <m:r>
                        <a:rPr lang="es-EC" sz="1100" i="1">
                          <a:latin typeface="Cambria Math" panose="02040503050406030204" pitchFamily="18" charset="0"/>
                        </a:rPr>
                        <m:t>=1</m:t>
                      </m:r>
                    </m:sub>
                    <m:sup>
                      <m:r>
                        <a:rPr lang="es-EC" sz="1100" b="0" i="1">
                          <a:latin typeface="Cambria Math" panose="02040503050406030204" pitchFamily="18" charset="0"/>
                        </a:rPr>
                        <m:t>𝑛</m:t>
                      </m:r>
                    </m:sup>
                    <m:e>
                      <m:f>
                        <m:fPr>
                          <m:ctrlPr>
                            <a:rPr lang="es-EC" sz="1100" i="1">
                              <a:latin typeface="Cambria Math" panose="02040503050406030204" pitchFamily="18" charset="0"/>
                            </a:rPr>
                          </m:ctrlPr>
                        </m:fPr>
                        <m:num>
                          <m:r>
                            <a:rPr lang="es-EC" sz="1100" b="0" i="1">
                              <a:latin typeface="Cambria Math" panose="02040503050406030204" pitchFamily="18" charset="0"/>
                            </a:rPr>
                            <m:t>𝑖𝑛𝑔𝑟𝑒𝑠𝑜𝑠</m:t>
                          </m:r>
                          <m:r>
                            <a:rPr lang="es-EC" sz="1100" b="0" i="1">
                              <a:latin typeface="Cambria Math" panose="02040503050406030204" pitchFamily="18" charset="0"/>
                            </a:rPr>
                            <m:t> </m:t>
                          </m:r>
                          <m:r>
                            <a:rPr lang="es-EC" sz="1100" b="0" i="1">
                              <a:latin typeface="Cambria Math" panose="02040503050406030204" pitchFamily="18" charset="0"/>
                            </a:rPr>
                            <m:t>𝑡𝑜𝑡𝑎𝑙𝑒𝑠</m:t>
                          </m:r>
                        </m:num>
                        <m:den>
                          <m:d>
                            <m:dPr>
                              <m:ctrlPr>
                                <a:rPr lang="es-EC" sz="1100" b="0" i="1">
                                  <a:latin typeface="Cambria Math" panose="02040503050406030204" pitchFamily="18" charset="0"/>
                                </a:rPr>
                              </m:ctrlPr>
                            </m:dPr>
                            <m:e>
                              <m:r>
                                <a:rPr lang="es-EC" sz="1100" b="0" i="1">
                                  <a:latin typeface="Cambria Math" panose="02040503050406030204" pitchFamily="18" charset="0"/>
                                </a:rPr>
                                <m:t> 1+</m:t>
                              </m:r>
                              <m:r>
                                <a:rPr lang="es-EC" sz="1100" b="0" i="1">
                                  <a:latin typeface="Cambria Math" panose="02040503050406030204" pitchFamily="18" charset="0"/>
                                </a:rPr>
                                <m:t>𝑖</m:t>
                              </m:r>
                              <m:r>
                                <a:rPr lang="es-EC" sz="1100" b="0" i="1">
                                  <a:latin typeface="Cambria Math" panose="02040503050406030204" pitchFamily="18" charset="0"/>
                                </a:rPr>
                                <m:t> </m:t>
                              </m:r>
                            </m:e>
                          </m:d>
                          <m:r>
                            <a:rPr lang="es-EC" sz="1100" b="0" i="1">
                              <a:latin typeface="Cambria Math" panose="02040503050406030204" pitchFamily="18" charset="0"/>
                            </a:rPr>
                            <m:t>𝑡</m:t>
                          </m:r>
                        </m:den>
                      </m:f>
                    </m:e>
                  </m:nary>
                </m:oMath>
              </a14:m>
              <a:endParaRPr lang="es-EC" sz="1100" i="0">
                <a:latin typeface="+mn-lt"/>
              </a:endParaRPr>
            </a:p>
            <a:p>
              <a:r>
                <a:rPr lang="es-EC" sz="1100"/>
                <a:t>                 </a:t>
              </a:r>
              <a14:m>
                <m:oMath xmlns:m="http://schemas.openxmlformats.org/officeDocument/2006/math">
                  <m:nary>
                    <m:naryPr>
                      <m:chr m:val="∑"/>
                      <m:ctrlPr>
                        <a:rPr lang="es-EC" sz="1100" i="1">
                          <a:solidFill>
                            <a:schemeClr val="tx1"/>
                          </a:solidFill>
                          <a:effectLst/>
                          <a:latin typeface="Cambria Math" panose="02040503050406030204" pitchFamily="18" charset="0"/>
                          <a:ea typeface="+mn-ea"/>
                          <a:cs typeface="+mn-cs"/>
                        </a:rPr>
                      </m:ctrlPr>
                    </m:naryPr>
                    <m:sub>
                      <m:r>
                        <m:rPr>
                          <m:brk m:alnAt="23"/>
                        </m:rPr>
                        <a:rPr lang="es-EC" sz="1100" b="0" i="1">
                          <a:solidFill>
                            <a:schemeClr val="tx1"/>
                          </a:solidFill>
                          <a:effectLst/>
                          <a:latin typeface="Cambria Math" panose="02040503050406030204" pitchFamily="18" charset="0"/>
                          <a:ea typeface="+mn-ea"/>
                          <a:cs typeface="+mn-cs"/>
                        </a:rPr>
                        <m:t>𝑡</m:t>
                      </m:r>
                      <m:r>
                        <a:rPr lang="es-EC" sz="1100" i="1">
                          <a:solidFill>
                            <a:schemeClr val="tx1"/>
                          </a:solidFill>
                          <a:effectLst/>
                          <a:latin typeface="Cambria Math" panose="02040503050406030204" pitchFamily="18" charset="0"/>
                          <a:ea typeface="+mn-ea"/>
                          <a:cs typeface="+mn-cs"/>
                        </a:rPr>
                        <m:t>=1</m:t>
                      </m:r>
                    </m:sub>
                    <m:sup>
                      <m:r>
                        <a:rPr lang="es-EC" sz="1100" b="0" i="1">
                          <a:solidFill>
                            <a:schemeClr val="tx1"/>
                          </a:solidFill>
                          <a:effectLst/>
                          <a:latin typeface="Cambria Math" panose="02040503050406030204" pitchFamily="18" charset="0"/>
                          <a:ea typeface="+mn-ea"/>
                          <a:cs typeface="+mn-cs"/>
                        </a:rPr>
                        <m:t>𝑛</m:t>
                      </m:r>
                    </m:sup>
                    <m:e>
                      <m:f>
                        <m:fPr>
                          <m:ctrlPr>
                            <a:rPr lang="es-EC" sz="1100" i="1">
                              <a:solidFill>
                                <a:schemeClr val="tx1"/>
                              </a:solidFill>
                              <a:effectLst/>
                              <a:latin typeface="Cambria Math" panose="02040503050406030204" pitchFamily="18" charset="0"/>
                              <a:ea typeface="+mn-ea"/>
                              <a:cs typeface="+mn-cs"/>
                            </a:rPr>
                          </m:ctrlPr>
                        </m:fPr>
                        <m:num>
                          <m:r>
                            <a:rPr lang="es-EC" sz="1100" b="0" i="1">
                              <a:solidFill>
                                <a:schemeClr val="tx1"/>
                              </a:solidFill>
                              <a:effectLst/>
                              <a:latin typeface="Cambria Math" panose="02040503050406030204" pitchFamily="18" charset="0"/>
                              <a:ea typeface="+mn-ea"/>
                              <a:cs typeface="+mn-cs"/>
                            </a:rPr>
                            <m:t>𝑒𝑔𝑟𝑒𝑠𝑜𝑠</m:t>
                          </m:r>
                          <m:r>
                            <a:rPr lang="es-EC" sz="1100" b="0" i="1">
                              <a:solidFill>
                                <a:schemeClr val="tx1"/>
                              </a:solidFill>
                              <a:effectLst/>
                              <a:latin typeface="Cambria Math" panose="02040503050406030204" pitchFamily="18" charset="0"/>
                              <a:ea typeface="+mn-ea"/>
                              <a:cs typeface="+mn-cs"/>
                            </a:rPr>
                            <m:t> </m:t>
                          </m:r>
                          <m:r>
                            <a:rPr lang="es-EC" sz="1100" b="0" i="1">
                              <a:solidFill>
                                <a:schemeClr val="tx1"/>
                              </a:solidFill>
                              <a:effectLst/>
                              <a:latin typeface="Cambria Math" panose="02040503050406030204" pitchFamily="18" charset="0"/>
                              <a:ea typeface="+mn-ea"/>
                              <a:cs typeface="+mn-cs"/>
                            </a:rPr>
                            <m:t>𝑡𝑜𝑡𝑎𝑙𝑒𝑠</m:t>
                          </m:r>
                        </m:num>
                        <m:den>
                          <m:d>
                            <m:dPr>
                              <m:ctrlPr>
                                <a:rPr lang="es-EC" sz="1100" b="0" i="1">
                                  <a:solidFill>
                                    <a:schemeClr val="tx1"/>
                                  </a:solidFill>
                                  <a:effectLst/>
                                  <a:latin typeface="Cambria Math" panose="02040503050406030204" pitchFamily="18" charset="0"/>
                                  <a:ea typeface="+mn-ea"/>
                                  <a:cs typeface="+mn-cs"/>
                                </a:rPr>
                              </m:ctrlPr>
                            </m:dPr>
                            <m:e>
                              <m:r>
                                <a:rPr lang="es-EC" sz="1100" b="0" i="1">
                                  <a:solidFill>
                                    <a:schemeClr val="tx1"/>
                                  </a:solidFill>
                                  <a:effectLst/>
                                  <a:latin typeface="Cambria Math" panose="02040503050406030204" pitchFamily="18" charset="0"/>
                                  <a:ea typeface="+mn-ea"/>
                                  <a:cs typeface="+mn-cs"/>
                                </a:rPr>
                                <m:t> 1+</m:t>
                              </m:r>
                              <m:r>
                                <a:rPr lang="es-EC" sz="1100" b="0" i="1">
                                  <a:solidFill>
                                    <a:schemeClr val="tx1"/>
                                  </a:solidFill>
                                  <a:effectLst/>
                                  <a:latin typeface="Cambria Math" panose="02040503050406030204" pitchFamily="18" charset="0"/>
                                  <a:ea typeface="+mn-ea"/>
                                  <a:cs typeface="+mn-cs"/>
                                </a:rPr>
                                <m:t>𝑖</m:t>
                              </m:r>
                              <m:r>
                                <a:rPr lang="es-EC" sz="1100" b="0" i="1">
                                  <a:solidFill>
                                    <a:schemeClr val="tx1"/>
                                  </a:solidFill>
                                  <a:effectLst/>
                                  <a:latin typeface="Cambria Math" panose="02040503050406030204" pitchFamily="18" charset="0"/>
                                  <a:ea typeface="+mn-ea"/>
                                  <a:cs typeface="+mn-cs"/>
                                </a:rPr>
                                <m:t> </m:t>
                              </m:r>
                            </m:e>
                          </m:d>
                          <m:r>
                            <a:rPr lang="es-EC" sz="1100" b="0" i="1">
                              <a:solidFill>
                                <a:schemeClr val="tx1"/>
                              </a:solidFill>
                              <a:effectLst/>
                              <a:latin typeface="Cambria Math" panose="02040503050406030204" pitchFamily="18" charset="0"/>
                              <a:ea typeface="+mn-ea"/>
                              <a:cs typeface="+mn-cs"/>
                            </a:rPr>
                            <m:t>𝑡</m:t>
                          </m:r>
                        </m:den>
                      </m:f>
                    </m:e>
                  </m:nary>
                </m:oMath>
              </a14:m>
              <a:endParaRPr lang="es-EC" sz="1100"/>
            </a:p>
          </xdr:txBody>
        </xdr:sp>
      </mc:Choice>
      <mc:Fallback xmlns="">
        <xdr:sp macro="" textlink="">
          <xdr:nvSpPr>
            <xdr:cNvPr id="2" name="CuadroTexto 1"/>
            <xdr:cNvSpPr txBox="1"/>
          </xdr:nvSpPr>
          <xdr:spPr>
            <a:xfrm>
              <a:off x="4162425" y="2181225"/>
              <a:ext cx="4057651" cy="895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endParaRPr lang="es-EC" sz="1100" i="0">
                <a:latin typeface="+mn-lt"/>
              </a:endParaRPr>
            </a:p>
            <a:p>
              <a:r>
                <a:rPr lang="es-EC" sz="1100" i="0">
                  <a:latin typeface="+mn-lt"/>
                </a:rPr>
                <a:t>RB</a:t>
              </a:r>
              <a:r>
                <a:rPr lang="es-EC" sz="1100" i="0" baseline="0">
                  <a:latin typeface="+mn-lt"/>
                </a:rPr>
                <a:t> / C </a:t>
              </a:r>
              <a:r>
                <a:rPr lang="es-EC" sz="1100" i="0">
                  <a:latin typeface="Cambria Math" panose="02040503050406030204" pitchFamily="18" charset="0"/>
                </a:rPr>
                <a:t>=∑_(</a:t>
              </a:r>
              <a:r>
                <a:rPr lang="es-EC" sz="1100" b="0" i="0">
                  <a:latin typeface="Cambria Math" panose="02040503050406030204" pitchFamily="18" charset="0"/>
                </a:rPr>
                <a:t>𝑡</a:t>
              </a:r>
              <a:r>
                <a:rPr lang="es-EC" sz="1100" i="0">
                  <a:latin typeface="Cambria Math" panose="02040503050406030204" pitchFamily="18" charset="0"/>
                </a:rPr>
                <a:t>=1)</a:t>
              </a:r>
              <a:r>
                <a:rPr lang="es-EC" sz="1100" b="0" i="0">
                  <a:latin typeface="Cambria Math" panose="02040503050406030204" pitchFamily="18" charset="0"/>
                </a:rPr>
                <a:t>^𝑛▒(𝑖𝑛𝑔𝑟𝑒𝑠𝑜𝑠 𝑡𝑜𝑡𝑎𝑙𝑒𝑠)/( 1+𝑖 )𝑡</a:t>
              </a:r>
              <a:endParaRPr lang="es-EC" sz="1100" i="0">
                <a:latin typeface="+mn-lt"/>
              </a:endParaRPr>
            </a:p>
            <a:p>
              <a:r>
                <a:rPr lang="es-EC" sz="1100"/>
                <a:t>                 </a:t>
              </a:r>
              <a:r>
                <a:rPr lang="es-EC" sz="1100" i="0">
                  <a:solidFill>
                    <a:schemeClr val="tx1"/>
                  </a:solidFill>
                  <a:effectLst/>
                  <a:latin typeface="Cambria Math" panose="02040503050406030204" pitchFamily="18" charset="0"/>
                  <a:ea typeface="+mn-ea"/>
                  <a:cs typeface="+mn-cs"/>
                </a:rPr>
                <a:t>∑_(</a:t>
              </a:r>
              <a:r>
                <a:rPr lang="es-EC" sz="1100" b="0" i="0">
                  <a:solidFill>
                    <a:schemeClr val="tx1"/>
                  </a:solidFill>
                  <a:effectLst/>
                  <a:latin typeface="Cambria Math" panose="02040503050406030204" pitchFamily="18" charset="0"/>
                  <a:ea typeface="+mn-ea"/>
                  <a:cs typeface="+mn-cs"/>
                </a:rPr>
                <a:t>𝑡</a:t>
              </a:r>
              <a:r>
                <a:rPr lang="es-EC" sz="1100" i="0">
                  <a:solidFill>
                    <a:schemeClr val="tx1"/>
                  </a:solidFill>
                  <a:effectLst/>
                  <a:latin typeface="Cambria Math" panose="02040503050406030204" pitchFamily="18" charset="0"/>
                  <a:ea typeface="+mn-ea"/>
                  <a:cs typeface="+mn-cs"/>
                </a:rPr>
                <a:t>=1)</a:t>
              </a:r>
              <a:r>
                <a:rPr lang="es-EC" sz="1100" b="0" i="0">
                  <a:solidFill>
                    <a:schemeClr val="tx1"/>
                  </a:solidFill>
                  <a:effectLst/>
                  <a:latin typeface="Cambria Math" panose="02040503050406030204" pitchFamily="18" charset="0"/>
                  <a:ea typeface="+mn-ea"/>
                  <a:cs typeface="+mn-cs"/>
                </a:rPr>
                <a:t>^𝑛▒(𝑒𝑔𝑟𝑒𝑠𝑜𝑠 𝑡𝑜𝑡𝑎𝑙𝑒𝑠)/( 1+𝑖 )𝑡</a:t>
              </a:r>
              <a:endParaRPr lang="es-EC" sz="1100"/>
            </a:p>
          </xdr:txBody>
        </xdr:sp>
      </mc:Fallback>
    </mc:AlternateContent>
    <xdr:clientData/>
  </xdr:one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alla">
  <a:themeElements>
    <a:clrScheme name="Malla">
      <a:dk1>
        <a:sysClr val="windowText" lastClr="000000"/>
      </a:dk1>
      <a:lt1>
        <a:sysClr val="window" lastClr="FFFFFF"/>
      </a:lt1>
      <a:dk2>
        <a:srgbClr val="363D46"/>
      </a:dk2>
      <a:lt2>
        <a:srgbClr val="EBEBEB"/>
      </a:lt2>
      <a:accent1>
        <a:srgbClr val="6F6F6F"/>
      </a:accent1>
      <a:accent2>
        <a:srgbClr val="BFBFA5"/>
      </a:accent2>
      <a:accent3>
        <a:srgbClr val="DCD084"/>
      </a:accent3>
      <a:accent4>
        <a:srgbClr val="E7BF5F"/>
      </a:accent4>
      <a:accent5>
        <a:srgbClr val="E9A039"/>
      </a:accent5>
      <a:accent6>
        <a:srgbClr val="CF7133"/>
      </a:accent6>
      <a:hlink>
        <a:srgbClr val="F28943"/>
      </a:hlink>
      <a:folHlink>
        <a:srgbClr val="F1B76C"/>
      </a:folHlink>
    </a:clrScheme>
    <a:fontScheme name="Malla">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Malla">
      <a:fillStyleLst>
        <a:solidFill>
          <a:schemeClr val="phClr"/>
        </a:solidFill>
        <a:gradFill rotWithShape="1">
          <a:gsLst>
            <a:gs pos="0">
              <a:schemeClr val="phClr">
                <a:tint val="60000"/>
                <a:lumMod val="110000"/>
              </a:schemeClr>
            </a:gs>
            <a:gs pos="100000">
              <a:schemeClr val="phClr">
                <a:tint val="82000"/>
              </a:schemeClr>
            </a:gs>
          </a:gsLst>
          <a:lin ang="5400000" scaled="0"/>
        </a:gradFill>
        <a:gradFill rotWithShape="1">
          <a:gsLst>
            <a:gs pos="0">
              <a:schemeClr val="phClr">
                <a:tint val="96000"/>
                <a:lumMod val="104000"/>
              </a:schemeClr>
            </a:gs>
            <a:gs pos="100000">
              <a:schemeClr val="phClr">
                <a:shade val="84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innerShdw blurRad="50800" dist="25400" dir="13500000">
              <a:srgbClr val="000000">
                <a:alpha val="55000"/>
              </a:srgbClr>
            </a:innerShdw>
          </a:effectLst>
        </a:effectStyle>
        <a:effectStyle>
          <a:effectLst>
            <a:outerShdw blurRad="50800" dist="38100" dir="5400000" rotWithShape="0">
              <a:srgbClr val="000000">
                <a:alpha val="60000"/>
              </a:srgbClr>
            </a:outerShdw>
          </a:effectLst>
          <a:scene3d>
            <a:camera prst="orthographicFront">
              <a:rot lat="0" lon="0" rev="0"/>
            </a:camera>
            <a:lightRig rig="threePt" dir="tl"/>
          </a:scene3d>
          <a:sp3d>
            <a:bevelT w="25400" h="25400" prst="slope"/>
          </a:sp3d>
        </a:effectStyle>
      </a:effectStyleLst>
      <a:bgFillStyleLst>
        <a:solidFill>
          <a:schemeClr val="phClr"/>
        </a:solidFill>
        <a:gradFill rotWithShape="1">
          <a:gsLst>
            <a:gs pos="0">
              <a:schemeClr val="phClr">
                <a:tint val="90000"/>
                <a:lumMod val="110000"/>
              </a:schemeClr>
            </a:gs>
            <a:gs pos="100000">
              <a:schemeClr val="phClr">
                <a:shade val="64000"/>
                <a:lumMod val="98000"/>
              </a:schemeClr>
            </a:gs>
          </a:gsLst>
          <a:lin ang="5400000" scaled="0"/>
        </a:gradFill>
        <a:blipFill rotWithShape="1">
          <a:blip xmlns:r="http://schemas.openxmlformats.org/officeDocument/2006/relationships" r:embed="rId1">
            <a:duotone>
              <a:schemeClr val="phClr">
                <a:shade val="28000"/>
                <a:satMod val="94000"/>
                <a:lumMod val="20000"/>
              </a:schemeClr>
              <a:schemeClr val="phClr">
                <a:tint val="94000"/>
                <a:shade val="84000"/>
                <a:satMod val="148000"/>
                <a:lumMod val="114000"/>
              </a:schemeClr>
            </a:duotone>
          </a:blip>
          <a:stretch/>
        </a:blipFill>
      </a:bgFillStyleLst>
    </a:fmtScheme>
  </a:themeElements>
  <a:objectDefaults/>
  <a:extraClrSchemeLst/>
  <a:extLst>
    <a:ext uri="{05A4C25C-085E-4340-85A3-A5531E510DB2}">
      <thm15:themeFamily xmlns:thm15="http://schemas.microsoft.com/office/thememl/2012/main" name="Mesh" id="{789EC3FE-34FD-429C-9918-760025E6C145}" vid="{B8BE45C0-8141-4D58-8C71-A009BC26FBBB}"/>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hyperlink" Target="https://contenido.bce.fin.ec/resumen_ticker.php?ticker_value=activa"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latacunga.gob.ec/images/pdf/Ordenanzas/ordenanza_1_33.pdf" TargetMode="External"/><Relationship Id="rId1" Type="http://schemas.openxmlformats.org/officeDocument/2006/relationships/hyperlink" Target="https://www.propiedadintelectual.gob.ec/wp-content/uploads/2013/08/tarifario-de-tasas-con-descuentos.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E43"/>
  <sheetViews>
    <sheetView topLeftCell="A31" zoomScale="80" zoomScaleNormal="80" zoomScalePageLayoutView="80" workbookViewId="0">
      <selection activeCell="C44" sqref="C44"/>
    </sheetView>
  </sheetViews>
  <sheetFormatPr baseColWidth="10" defaultRowHeight="15" x14ac:dyDescent="0.4"/>
  <cols>
    <col min="1" max="1" width="30.375" style="1" customWidth="1"/>
    <col min="2" max="2" width="34.5" style="1" customWidth="1"/>
    <col min="3" max="3" width="11.625" style="2" customWidth="1"/>
    <col min="4" max="4" width="13.875" style="3" customWidth="1"/>
    <col min="5" max="5" width="15.875" style="3" customWidth="1"/>
    <col min="6" max="16384" width="11" style="4"/>
  </cols>
  <sheetData>
    <row r="1" spans="1:5" ht="15.75" customHeight="1" thickBot="1" x14ac:dyDescent="0.45"/>
    <row r="2" spans="1:5" ht="34.5" customHeight="1" thickBot="1" x14ac:dyDescent="0.45">
      <c r="A2" s="373" t="s">
        <v>295</v>
      </c>
      <c r="B2" s="374"/>
      <c r="C2" s="374"/>
      <c r="D2" s="374"/>
      <c r="E2" s="375"/>
    </row>
    <row r="4" spans="1:5" ht="30" x14ac:dyDescent="0.4">
      <c r="A4" s="5" t="s">
        <v>0</v>
      </c>
      <c r="B4" s="5" t="s">
        <v>60</v>
      </c>
      <c r="C4" s="5" t="s">
        <v>1</v>
      </c>
      <c r="D4" s="6" t="s">
        <v>2</v>
      </c>
      <c r="E4" s="6" t="s">
        <v>3</v>
      </c>
    </row>
    <row r="5" spans="1:5" x14ac:dyDescent="0.4">
      <c r="A5" s="365" t="s">
        <v>310</v>
      </c>
      <c r="B5" s="366"/>
      <c r="C5" s="366"/>
      <c r="D5" s="367"/>
      <c r="E5" s="7"/>
    </row>
    <row r="6" spans="1:5" ht="17.25" x14ac:dyDescent="0.4">
      <c r="A6" s="8" t="s">
        <v>311</v>
      </c>
      <c r="B6" s="8" t="s">
        <v>312</v>
      </c>
      <c r="C6" s="9">
        <v>1</v>
      </c>
      <c r="D6" s="10">
        <v>30000</v>
      </c>
      <c r="E6" s="10">
        <f>D6*C6</f>
        <v>30000</v>
      </c>
    </row>
    <row r="7" spans="1:5" x14ac:dyDescent="0.4">
      <c r="A7" s="8" t="s">
        <v>313</v>
      </c>
      <c r="B7" s="8" t="s">
        <v>314</v>
      </c>
      <c r="C7" s="9">
        <v>1</v>
      </c>
      <c r="D7" s="10">
        <v>40000</v>
      </c>
      <c r="E7" s="10">
        <f>+C7*D7</f>
        <v>40000</v>
      </c>
    </row>
    <row r="8" spans="1:5" x14ac:dyDescent="0.4">
      <c r="A8" s="368" t="s">
        <v>315</v>
      </c>
      <c r="B8" s="369"/>
      <c r="C8" s="369"/>
      <c r="D8" s="370"/>
      <c r="E8" s="11">
        <f>SUM(E6:E7)</f>
        <v>70000</v>
      </c>
    </row>
    <row r="9" spans="1:5" x14ac:dyDescent="0.4">
      <c r="A9" s="365" t="s">
        <v>153</v>
      </c>
      <c r="B9" s="366"/>
      <c r="C9" s="366"/>
      <c r="D9" s="367"/>
      <c r="E9" s="7"/>
    </row>
    <row r="10" spans="1:5" x14ac:dyDescent="0.4">
      <c r="A10" s="8" t="s">
        <v>257</v>
      </c>
      <c r="B10" s="8" t="s">
        <v>559</v>
      </c>
      <c r="C10" s="9">
        <v>1</v>
      </c>
      <c r="D10" s="10">
        <v>50000</v>
      </c>
      <c r="E10" s="10">
        <f>D10*C10</f>
        <v>50000</v>
      </c>
    </row>
    <row r="11" spans="1:5" ht="30" x14ac:dyDescent="0.4">
      <c r="A11" s="8" t="s">
        <v>258</v>
      </c>
      <c r="B11" s="8" t="s">
        <v>259</v>
      </c>
      <c r="C11" s="9">
        <v>1</v>
      </c>
      <c r="D11" s="10">
        <v>30000</v>
      </c>
      <c r="E11" s="10">
        <f>+C11*D11</f>
        <v>30000</v>
      </c>
    </row>
    <row r="12" spans="1:5" x14ac:dyDescent="0.4">
      <c r="A12" s="368" t="s">
        <v>154</v>
      </c>
      <c r="B12" s="369"/>
      <c r="C12" s="369"/>
      <c r="D12" s="370"/>
      <c r="E12" s="11">
        <f>SUM(E10:E11)</f>
        <v>80000</v>
      </c>
    </row>
    <row r="13" spans="1:5" x14ac:dyDescent="0.4">
      <c r="A13" s="365" t="s">
        <v>20</v>
      </c>
      <c r="B13" s="366"/>
      <c r="C13" s="366"/>
      <c r="D13" s="367"/>
      <c r="E13" s="10"/>
    </row>
    <row r="14" spans="1:5" s="12" customFormat="1" x14ac:dyDescent="0.4">
      <c r="A14" s="13" t="s">
        <v>266</v>
      </c>
      <c r="B14" s="8" t="s">
        <v>267</v>
      </c>
      <c r="C14" s="9">
        <v>2</v>
      </c>
      <c r="D14" s="10">
        <v>100</v>
      </c>
      <c r="E14" s="10">
        <f>C14*D14</f>
        <v>200</v>
      </c>
    </row>
    <row r="15" spans="1:5" s="12" customFormat="1" ht="45" x14ac:dyDescent="0.4">
      <c r="A15" s="13" t="s">
        <v>284</v>
      </c>
      <c r="B15" s="8" t="s">
        <v>285</v>
      </c>
      <c r="C15" s="9">
        <v>3</v>
      </c>
      <c r="D15" s="152">
        <v>400</v>
      </c>
      <c r="E15" s="10">
        <f>+C15*D15</f>
        <v>1200</v>
      </c>
    </row>
    <row r="16" spans="1:5" ht="15.75" customHeight="1" x14ac:dyDescent="0.4">
      <c r="A16" s="376" t="s">
        <v>63</v>
      </c>
      <c r="B16" s="377"/>
      <c r="C16" s="377"/>
      <c r="D16" s="378"/>
      <c r="E16" s="11">
        <f>SUM(E14:E15)</f>
        <v>1400</v>
      </c>
    </row>
    <row r="17" spans="1:5" x14ac:dyDescent="0.4">
      <c r="A17" s="365" t="s">
        <v>4</v>
      </c>
      <c r="B17" s="366"/>
      <c r="C17" s="366"/>
      <c r="D17" s="367"/>
      <c r="E17" s="10"/>
    </row>
    <row r="18" spans="1:5" x14ac:dyDescent="0.4">
      <c r="A18" s="8" t="s">
        <v>268</v>
      </c>
      <c r="B18" s="8" t="s">
        <v>269</v>
      </c>
      <c r="C18" s="9">
        <v>1</v>
      </c>
      <c r="D18" s="10">
        <v>150</v>
      </c>
      <c r="E18" s="10">
        <f>D18*C18</f>
        <v>150</v>
      </c>
    </row>
    <row r="19" spans="1:5" ht="30" x14ac:dyDescent="0.4">
      <c r="A19" s="8" t="s">
        <v>198</v>
      </c>
      <c r="B19" s="8" t="s">
        <v>270</v>
      </c>
      <c r="C19" s="9">
        <v>4</v>
      </c>
      <c r="D19" s="10">
        <v>100</v>
      </c>
      <c r="E19" s="10">
        <f>D19*C19</f>
        <v>400</v>
      </c>
    </row>
    <row r="20" spans="1:5" ht="38.25" customHeight="1" x14ac:dyDescent="0.4">
      <c r="A20" s="8" t="s">
        <v>271</v>
      </c>
      <c r="B20" s="8" t="s">
        <v>272</v>
      </c>
      <c r="C20" s="9">
        <v>12</v>
      </c>
      <c r="D20" s="10">
        <v>50</v>
      </c>
      <c r="E20" s="10">
        <f>D20*C20</f>
        <v>600</v>
      </c>
    </row>
    <row r="21" spans="1:5" x14ac:dyDescent="0.4">
      <c r="A21" s="368" t="s">
        <v>5</v>
      </c>
      <c r="B21" s="369"/>
      <c r="C21" s="369"/>
      <c r="D21" s="370"/>
      <c r="E21" s="11">
        <f>SUM(E18:E20)</f>
        <v>1150</v>
      </c>
    </row>
    <row r="22" spans="1:5" x14ac:dyDescent="0.4">
      <c r="A22" s="365" t="s">
        <v>6</v>
      </c>
      <c r="B22" s="366"/>
      <c r="C22" s="366"/>
      <c r="D22" s="367"/>
      <c r="E22" s="10"/>
    </row>
    <row r="23" spans="1:5" ht="45" x14ac:dyDescent="0.4">
      <c r="A23" s="13" t="s">
        <v>206</v>
      </c>
      <c r="B23" s="8" t="s">
        <v>263</v>
      </c>
      <c r="C23" s="9">
        <v>1</v>
      </c>
      <c r="D23" s="10">
        <v>200</v>
      </c>
      <c r="E23" s="10">
        <f>C23*D23</f>
        <v>200</v>
      </c>
    </row>
    <row r="24" spans="1:5" ht="30" x14ac:dyDescent="0.4">
      <c r="A24" s="13" t="s">
        <v>260</v>
      </c>
      <c r="B24" s="8" t="s">
        <v>261</v>
      </c>
      <c r="C24" s="9">
        <v>1</v>
      </c>
      <c r="D24" s="10">
        <v>600</v>
      </c>
      <c r="E24" s="10">
        <f>+C24*D24</f>
        <v>600</v>
      </c>
    </row>
    <row r="25" spans="1:5" ht="30" x14ac:dyDescent="0.4">
      <c r="A25" s="13" t="s">
        <v>262</v>
      </c>
      <c r="B25" s="8" t="s">
        <v>264</v>
      </c>
      <c r="C25" s="9">
        <v>2</v>
      </c>
      <c r="D25" s="10">
        <v>25</v>
      </c>
      <c r="E25" s="10">
        <f>+C25*D25</f>
        <v>50</v>
      </c>
    </row>
    <row r="26" spans="1:5" ht="30" x14ac:dyDescent="0.4">
      <c r="A26" s="13" t="s">
        <v>293</v>
      </c>
      <c r="B26" s="8" t="s">
        <v>294</v>
      </c>
      <c r="C26" s="9">
        <v>1</v>
      </c>
      <c r="D26" s="10">
        <v>300</v>
      </c>
      <c r="E26" s="10">
        <f>+C26*D26</f>
        <v>300</v>
      </c>
    </row>
    <row r="27" spans="1:5" x14ac:dyDescent="0.4">
      <c r="A27" s="368" t="s">
        <v>7</v>
      </c>
      <c r="B27" s="369"/>
      <c r="C27" s="369"/>
      <c r="D27" s="369"/>
      <c r="E27" s="14">
        <f>SUM(E23:E26)</f>
        <v>1150</v>
      </c>
    </row>
    <row r="28" spans="1:5" x14ac:dyDescent="0.4">
      <c r="A28" s="365" t="s">
        <v>8</v>
      </c>
      <c r="B28" s="366"/>
      <c r="C28" s="366"/>
      <c r="D28" s="367"/>
      <c r="E28" s="10"/>
    </row>
    <row r="29" spans="1:5" ht="47.25" customHeight="1" x14ac:dyDescent="0.4">
      <c r="A29" s="13" t="s">
        <v>208</v>
      </c>
      <c r="B29" s="8" t="s">
        <v>273</v>
      </c>
      <c r="C29" s="15">
        <v>3</v>
      </c>
      <c r="D29" s="10">
        <v>680</v>
      </c>
      <c r="E29" s="10">
        <f t="shared" ref="E29:E31" si="0">C29*D29</f>
        <v>2040</v>
      </c>
    </row>
    <row r="30" spans="1:5" ht="47.25" customHeight="1" x14ac:dyDescent="0.4">
      <c r="A30" s="13" t="s">
        <v>207</v>
      </c>
      <c r="B30" s="8" t="s">
        <v>265</v>
      </c>
      <c r="C30" s="15">
        <v>1</v>
      </c>
      <c r="D30" s="10">
        <v>400</v>
      </c>
      <c r="E30" s="10">
        <f t="shared" ref="E30" si="1">C30*D30</f>
        <v>400</v>
      </c>
    </row>
    <row r="31" spans="1:5" ht="30" x14ac:dyDescent="0.4">
      <c r="A31" s="13" t="s">
        <v>291</v>
      </c>
      <c r="B31" s="8" t="s">
        <v>292</v>
      </c>
      <c r="C31" s="15">
        <v>4</v>
      </c>
      <c r="D31" s="10">
        <v>95</v>
      </c>
      <c r="E31" s="10">
        <f t="shared" si="0"/>
        <v>380</v>
      </c>
    </row>
    <row r="32" spans="1:5" ht="15" customHeight="1" x14ac:dyDescent="0.4">
      <c r="A32" s="368" t="s">
        <v>9</v>
      </c>
      <c r="B32" s="369"/>
      <c r="C32" s="369"/>
      <c r="D32" s="369"/>
      <c r="E32" s="14">
        <f>SUM(E29:E31)</f>
        <v>2820</v>
      </c>
    </row>
    <row r="33" spans="1:5" ht="15" customHeight="1" x14ac:dyDescent="0.4">
      <c r="A33" s="365" t="s">
        <v>209</v>
      </c>
      <c r="B33" s="366"/>
      <c r="C33" s="366"/>
      <c r="D33" s="367"/>
      <c r="E33" s="7"/>
    </row>
    <row r="34" spans="1:5" ht="60" x14ac:dyDescent="0.4">
      <c r="A34" s="16" t="s">
        <v>274</v>
      </c>
      <c r="B34" s="16" t="s">
        <v>275</v>
      </c>
      <c r="C34" s="17">
        <v>1</v>
      </c>
      <c r="D34" s="18">
        <v>1500</v>
      </c>
      <c r="E34" s="10">
        <f>C34*D34</f>
        <v>1500</v>
      </c>
    </row>
    <row r="35" spans="1:5" ht="45" x14ac:dyDescent="0.4">
      <c r="A35" s="16" t="s">
        <v>277</v>
      </c>
      <c r="B35" s="16" t="s">
        <v>276</v>
      </c>
      <c r="C35" s="17">
        <v>1</v>
      </c>
      <c r="D35" s="18">
        <v>3000</v>
      </c>
      <c r="E35" s="10">
        <f t="shared" ref="E35:E41" si="2">C35*D35</f>
        <v>3000</v>
      </c>
    </row>
    <row r="36" spans="1:5" x14ac:dyDescent="0.4">
      <c r="A36" s="16" t="s">
        <v>279</v>
      </c>
      <c r="B36" s="16" t="s">
        <v>278</v>
      </c>
      <c r="C36" s="17">
        <v>1</v>
      </c>
      <c r="D36" s="18">
        <v>2000</v>
      </c>
      <c r="E36" s="10">
        <f t="shared" si="2"/>
        <v>2000</v>
      </c>
    </row>
    <row r="37" spans="1:5" x14ac:dyDescent="0.4">
      <c r="A37" s="16" t="s">
        <v>281</v>
      </c>
      <c r="B37" s="16" t="s">
        <v>280</v>
      </c>
      <c r="C37" s="17">
        <v>1</v>
      </c>
      <c r="D37" s="18">
        <v>1000</v>
      </c>
      <c r="E37" s="10">
        <f>C37*D37</f>
        <v>1000</v>
      </c>
    </row>
    <row r="38" spans="1:5" ht="45" x14ac:dyDescent="0.4">
      <c r="A38" s="16" t="s">
        <v>283</v>
      </c>
      <c r="B38" s="16" t="s">
        <v>282</v>
      </c>
      <c r="C38" s="17">
        <v>1</v>
      </c>
      <c r="D38" s="18">
        <v>10000</v>
      </c>
      <c r="E38" s="10">
        <f>C38*D38</f>
        <v>10000</v>
      </c>
    </row>
    <row r="39" spans="1:5" ht="75" x14ac:dyDescent="0.4">
      <c r="A39" s="16" t="s">
        <v>286</v>
      </c>
      <c r="B39" s="16" t="s">
        <v>287</v>
      </c>
      <c r="C39" s="17">
        <v>1</v>
      </c>
      <c r="D39" s="18">
        <v>10000</v>
      </c>
      <c r="E39" s="10">
        <f t="shared" si="2"/>
        <v>10000</v>
      </c>
    </row>
    <row r="40" spans="1:5" x14ac:dyDescent="0.4">
      <c r="A40" s="16" t="s">
        <v>290</v>
      </c>
      <c r="B40" s="16" t="s">
        <v>560</v>
      </c>
      <c r="C40" s="17">
        <v>1</v>
      </c>
      <c r="D40" s="18">
        <v>100</v>
      </c>
      <c r="E40" s="10">
        <f t="shared" si="2"/>
        <v>100</v>
      </c>
    </row>
    <row r="41" spans="1:5" x14ac:dyDescent="0.4">
      <c r="A41" s="16" t="s">
        <v>289</v>
      </c>
      <c r="B41" s="16" t="s">
        <v>288</v>
      </c>
      <c r="C41" s="17">
        <v>1</v>
      </c>
      <c r="D41" s="18">
        <v>60</v>
      </c>
      <c r="E41" s="10">
        <f t="shared" si="2"/>
        <v>60</v>
      </c>
    </row>
    <row r="42" spans="1:5" ht="15" customHeight="1" x14ac:dyDescent="0.4">
      <c r="A42" s="368" t="s">
        <v>210</v>
      </c>
      <c r="B42" s="369"/>
      <c r="C42" s="369"/>
      <c r="D42" s="370"/>
      <c r="E42" s="19">
        <f>SUM(E34:E41)</f>
        <v>27660</v>
      </c>
    </row>
    <row r="43" spans="1:5" ht="66.75" customHeight="1" x14ac:dyDescent="0.4">
      <c r="A43" s="20" t="s">
        <v>10</v>
      </c>
      <c r="B43" s="371" t="s">
        <v>316</v>
      </c>
      <c r="C43" s="371"/>
      <c r="D43" s="372">
        <f>+E8+E12+E16+E21+E27+E32+E42</f>
        <v>184180</v>
      </c>
      <c r="E43" s="372"/>
    </row>
  </sheetData>
  <mergeCells count="17">
    <mergeCell ref="A2:E2"/>
    <mergeCell ref="A12:D12"/>
    <mergeCell ref="A16:D16"/>
    <mergeCell ref="A21:D21"/>
    <mergeCell ref="A27:D27"/>
    <mergeCell ref="A9:D9"/>
    <mergeCell ref="A13:D13"/>
    <mergeCell ref="A17:D17"/>
    <mergeCell ref="A22:D22"/>
    <mergeCell ref="A5:D5"/>
    <mergeCell ref="A8:D8"/>
    <mergeCell ref="A28:D28"/>
    <mergeCell ref="A33:D33"/>
    <mergeCell ref="A42:D42"/>
    <mergeCell ref="A32:D32"/>
    <mergeCell ref="B43:C43"/>
    <mergeCell ref="D43:E43"/>
  </mergeCells>
  <pageMargins left="0.25" right="0.25" top="0.75" bottom="0.75" header="0.3" footer="0.3"/>
  <pageSetup paperSize="9" scale="86" orientation="portrait" r:id="rId1"/>
  <colBreaks count="1" manualBreakCount="1">
    <brk id="6"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E9"/>
  <sheetViews>
    <sheetView zoomScaleNormal="100" workbookViewId="0">
      <selection activeCell="C13" sqref="C13"/>
    </sheetView>
  </sheetViews>
  <sheetFormatPr baseColWidth="10" defaultRowHeight="15" x14ac:dyDescent="0.4"/>
  <cols>
    <col min="1" max="1" width="27.375" style="4" customWidth="1"/>
    <col min="2" max="2" width="14.375" style="104" customWidth="1"/>
    <col min="3" max="3" width="14" style="104" customWidth="1"/>
    <col min="4" max="4" width="14.5" style="4" customWidth="1"/>
    <col min="5" max="5" width="26.5" style="4" customWidth="1"/>
    <col min="6" max="16384" width="11" style="4"/>
  </cols>
  <sheetData>
    <row r="1" spans="1:5" ht="15.4" thickBot="1" x14ac:dyDescent="0.45"/>
    <row r="2" spans="1:5" ht="17.25" customHeight="1" thickBot="1" x14ac:dyDescent="0.45">
      <c r="A2" s="445" t="s">
        <v>54</v>
      </c>
      <c r="B2" s="446"/>
      <c r="C2" s="446"/>
      <c r="D2" s="446"/>
      <c r="E2" s="446"/>
    </row>
    <row r="4" spans="1:5" ht="15.75" customHeight="1" x14ac:dyDescent="0.4">
      <c r="A4" s="416" t="s">
        <v>31</v>
      </c>
      <c r="B4" s="441" t="s">
        <v>52</v>
      </c>
      <c r="C4" s="441"/>
      <c r="D4" s="448" t="s">
        <v>53</v>
      </c>
      <c r="E4" s="449"/>
    </row>
    <row r="5" spans="1:5" x14ac:dyDescent="0.4">
      <c r="A5" s="416"/>
      <c r="B5" s="86" t="s">
        <v>50</v>
      </c>
      <c r="C5" s="86" t="s">
        <v>51</v>
      </c>
      <c r="D5" s="450"/>
      <c r="E5" s="451"/>
    </row>
    <row r="6" spans="1:5" ht="30.75" customHeight="1" x14ac:dyDescent="0.4">
      <c r="A6" s="98" t="s">
        <v>96</v>
      </c>
      <c r="B6" s="47">
        <f>'GASTO OPERACIONAL ANUAL'!C7</f>
        <v>67643.8</v>
      </c>
      <c r="C6" s="91">
        <f t="shared" ref="C6:C7" si="0">+B6/12</f>
        <v>5636.9833333333336</v>
      </c>
      <c r="D6" s="452" t="s">
        <v>186</v>
      </c>
      <c r="E6" s="453"/>
    </row>
    <row r="7" spans="1:5" ht="29.25" customHeight="1" x14ac:dyDescent="0.4">
      <c r="A7" s="98" t="s">
        <v>162</v>
      </c>
      <c r="B7" s="47">
        <f>'GASTO NO OPERACIONAL '!C9</f>
        <v>3442.1900000000005</v>
      </c>
      <c r="C7" s="91">
        <f t="shared" si="0"/>
        <v>286.84916666666669</v>
      </c>
      <c r="D7" s="452" t="s">
        <v>187</v>
      </c>
      <c r="E7" s="453"/>
    </row>
    <row r="8" spans="1:5" ht="29.25" customHeight="1" thickBot="1" x14ac:dyDescent="0.45">
      <c r="A8" s="210" t="s">
        <v>33</v>
      </c>
      <c r="B8" s="211">
        <f>SUM(B6:B7)</f>
        <v>71085.990000000005</v>
      </c>
      <c r="C8" s="209">
        <f>SUM(C6:C7)</f>
        <v>5923.8325000000004</v>
      </c>
      <c r="D8" s="447" t="s">
        <v>188</v>
      </c>
      <c r="E8" s="447"/>
    </row>
    <row r="9" spans="1:5" ht="33" customHeight="1" thickBot="1" x14ac:dyDescent="0.45">
      <c r="A9" s="443" t="s">
        <v>558</v>
      </c>
      <c r="B9" s="444"/>
      <c r="C9" s="212">
        <f>C8*3</f>
        <v>17771.497500000001</v>
      </c>
      <c r="D9" s="442"/>
      <c r="E9" s="442"/>
    </row>
  </sheetData>
  <mergeCells count="9">
    <mergeCell ref="B4:C4"/>
    <mergeCell ref="A4:A5"/>
    <mergeCell ref="D9:E9"/>
    <mergeCell ref="A9:B9"/>
    <mergeCell ref="A2:E2"/>
    <mergeCell ref="D8:E8"/>
    <mergeCell ref="D4:E5"/>
    <mergeCell ref="D6:E6"/>
    <mergeCell ref="D7:E7"/>
  </mergeCells>
  <pageMargins left="0.25" right="0.25"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2:C7"/>
  <sheetViews>
    <sheetView zoomScaleNormal="100" workbookViewId="0">
      <selection activeCell="C6" sqref="C6"/>
    </sheetView>
  </sheetViews>
  <sheetFormatPr baseColWidth="10" defaultRowHeight="15" x14ac:dyDescent="0.4"/>
  <cols>
    <col min="1" max="1" width="22.75" style="4" customWidth="1"/>
    <col min="2" max="2" width="16.625" style="104" customWidth="1"/>
    <col min="3" max="3" width="28.75" style="4" customWidth="1"/>
    <col min="4" max="16384" width="11" style="4"/>
  </cols>
  <sheetData>
    <row r="2" spans="1:3" x14ac:dyDescent="0.4">
      <c r="A2" s="454" t="s">
        <v>56</v>
      </c>
      <c r="B2" s="454"/>
      <c r="C2" s="454"/>
    </row>
    <row r="3" spans="1:3" x14ac:dyDescent="0.4">
      <c r="A3" s="101" t="s">
        <v>39</v>
      </c>
      <c r="B3" s="102" t="s">
        <v>31</v>
      </c>
      <c r="C3" s="101" t="s">
        <v>55</v>
      </c>
    </row>
    <row r="4" spans="1:3" x14ac:dyDescent="0.4">
      <c r="A4" s="42" t="s">
        <v>57</v>
      </c>
      <c r="B4" s="91">
        <f>ACTIVOS!D43</f>
        <v>184180</v>
      </c>
      <c r="C4" s="98" t="s">
        <v>225</v>
      </c>
    </row>
    <row r="5" spans="1:3" ht="32.25" customHeight="1" x14ac:dyDescent="0.4">
      <c r="A5" s="103" t="s">
        <v>224</v>
      </c>
      <c r="B5" s="91">
        <f>AMORTIZACIONES!B12</f>
        <v>7000</v>
      </c>
      <c r="C5" s="98" t="s">
        <v>226</v>
      </c>
    </row>
    <row r="6" spans="1:3" ht="30" x14ac:dyDescent="0.4">
      <c r="A6" s="103" t="s">
        <v>200</v>
      </c>
      <c r="B6" s="91">
        <f>'CAPITAL DE TRABAJO '!C9</f>
        <v>17771.497500000001</v>
      </c>
      <c r="C6" s="98" t="s">
        <v>227</v>
      </c>
    </row>
    <row r="7" spans="1:3" x14ac:dyDescent="0.4">
      <c r="A7" s="214" t="s">
        <v>58</v>
      </c>
      <c r="B7" s="215">
        <f>SUM(B4:B6)</f>
        <v>208951.4975</v>
      </c>
      <c r="C7" s="213"/>
    </row>
  </sheetData>
  <mergeCells count="1">
    <mergeCell ref="A2:C2"/>
  </mergeCells>
  <pageMargins left="0.25" right="0.25"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sheetPr>
  <dimension ref="A1:H13"/>
  <sheetViews>
    <sheetView zoomScaleNormal="100" workbookViewId="0">
      <selection activeCell="F6" sqref="F6"/>
    </sheetView>
  </sheetViews>
  <sheetFormatPr baseColWidth="10" defaultRowHeight="15" x14ac:dyDescent="0.4"/>
  <cols>
    <col min="1" max="1" width="30.5" style="1" customWidth="1"/>
    <col min="2" max="2" width="11" style="2"/>
    <col min="3" max="8" width="13.625" style="1" customWidth="1"/>
    <col min="9" max="16384" width="11" style="1"/>
  </cols>
  <sheetData>
    <row r="1" spans="1:8" ht="15.4" thickBot="1" x14ac:dyDescent="0.45"/>
    <row r="2" spans="1:8" ht="15.4" thickBot="1" x14ac:dyDescent="0.45">
      <c r="A2" s="373" t="s">
        <v>163</v>
      </c>
      <c r="B2" s="374"/>
      <c r="C2" s="374"/>
      <c r="D2" s="374"/>
      <c r="E2" s="374"/>
      <c r="F2" s="374"/>
      <c r="G2" s="374"/>
      <c r="H2" s="375"/>
    </row>
    <row r="4" spans="1:8" ht="18.75" customHeight="1" x14ac:dyDescent="0.4">
      <c r="A4" s="416" t="s">
        <v>11</v>
      </c>
      <c r="B4" s="403" t="s">
        <v>435</v>
      </c>
      <c r="C4" s="416" t="s">
        <v>59</v>
      </c>
      <c r="D4" s="416"/>
      <c r="E4" s="416"/>
      <c r="F4" s="416"/>
      <c r="G4" s="416"/>
      <c r="H4" s="416"/>
    </row>
    <row r="5" spans="1:8" ht="39.75" customHeight="1" x14ac:dyDescent="0.4">
      <c r="A5" s="416"/>
      <c r="B5" s="403"/>
      <c r="C5" s="78">
        <v>0</v>
      </c>
      <c r="D5" s="78">
        <v>1</v>
      </c>
      <c r="E5" s="78">
        <v>2</v>
      </c>
      <c r="F5" s="78">
        <v>3</v>
      </c>
      <c r="G5" s="78">
        <v>4</v>
      </c>
      <c r="H5" s="78">
        <v>5</v>
      </c>
    </row>
    <row r="6" spans="1:8" x14ac:dyDescent="0.4">
      <c r="A6" s="63" t="str">
        <f>'DEPRECIACIONES '!A7</f>
        <v>EDIFICIOS Y CONSTRUCCIONES</v>
      </c>
      <c r="B6" s="216">
        <f>'DEPRECIACIONES '!C7</f>
        <v>3</v>
      </c>
      <c r="C6" s="91">
        <f>'DEPRECIACIONES '!B7</f>
        <v>70000</v>
      </c>
      <c r="D6" s="84">
        <v>0</v>
      </c>
      <c r="E6" s="84">
        <v>0</v>
      </c>
      <c r="F6" s="84">
        <f>'DEPRECIACIONES '!B8</f>
        <v>72121.070000000007</v>
      </c>
      <c r="G6" s="84">
        <v>0</v>
      </c>
      <c r="H6" s="84">
        <v>0</v>
      </c>
    </row>
    <row r="7" spans="1:8" x14ac:dyDescent="0.4">
      <c r="A7" s="98" t="str">
        <f>'DEPRECIACIONES '!A9</f>
        <v>VEHÍCULOS</v>
      </c>
      <c r="B7" s="50">
        <f>'DEPRECIACIONES '!$C$9</f>
        <v>5</v>
      </c>
      <c r="C7" s="47">
        <f>'DEPRECIACIONES '!B9</f>
        <v>80000</v>
      </c>
      <c r="D7" s="84">
        <v>0</v>
      </c>
      <c r="E7" s="84">
        <v>0</v>
      </c>
      <c r="F7" s="84">
        <v>0</v>
      </c>
      <c r="G7" s="84">
        <v>0</v>
      </c>
      <c r="H7" s="84">
        <v>0</v>
      </c>
    </row>
    <row r="8" spans="1:8" x14ac:dyDescent="0.4">
      <c r="A8" s="98" t="str">
        <f>'DEPRECIACIONES '!A10</f>
        <v xml:space="preserve">MUEBLES Y ENSERES </v>
      </c>
      <c r="B8" s="50">
        <f>'DEPRECIACIONES '!$C$9</f>
        <v>5</v>
      </c>
      <c r="C8" s="91">
        <f>'DEPRECIACIONES '!B10</f>
        <v>1400</v>
      </c>
      <c r="D8" s="84">
        <v>0</v>
      </c>
      <c r="E8" s="84">
        <v>0</v>
      </c>
      <c r="F8" s="84">
        <v>0</v>
      </c>
      <c r="G8" s="84">
        <v>0</v>
      </c>
      <c r="H8" s="84">
        <v>0</v>
      </c>
    </row>
    <row r="9" spans="1:8" x14ac:dyDescent="0.4">
      <c r="A9" s="98" t="str">
        <f>'DEPRECIACIONES '!A11</f>
        <v xml:space="preserve">MUEBLES DE OFICINA </v>
      </c>
      <c r="B9" s="50">
        <f>'DEPRECIACIONES '!$C$9</f>
        <v>5</v>
      </c>
      <c r="C9" s="91">
        <f>'DEPRECIACIONES '!B11</f>
        <v>1150</v>
      </c>
      <c r="D9" s="84">
        <v>0</v>
      </c>
      <c r="E9" s="84">
        <v>0</v>
      </c>
      <c r="F9" s="84">
        <v>0</v>
      </c>
      <c r="G9" s="84">
        <v>0</v>
      </c>
      <c r="H9" s="84">
        <v>0</v>
      </c>
    </row>
    <row r="10" spans="1:8" x14ac:dyDescent="0.4">
      <c r="A10" s="98" t="str">
        <f>'DEPRECIACIONES '!A12</f>
        <v>EQUIPO DE OFICINA</v>
      </c>
      <c r="B10" s="50">
        <f>'DEPRECIACIONES '!$C$9</f>
        <v>5</v>
      </c>
      <c r="C10" s="91">
        <f>'DEPRECIACIONES '!B12</f>
        <v>1150</v>
      </c>
      <c r="D10" s="84">
        <v>0</v>
      </c>
      <c r="E10" s="84">
        <v>0</v>
      </c>
      <c r="F10" s="84">
        <v>0</v>
      </c>
      <c r="G10" s="84">
        <v>0</v>
      </c>
      <c r="H10" s="84">
        <v>0</v>
      </c>
    </row>
    <row r="11" spans="1:8" x14ac:dyDescent="0.4">
      <c r="A11" s="98" t="str">
        <f>'DEPRECIACIONES '!A13</f>
        <v xml:space="preserve">EQUIPO DE CÓMPUTO </v>
      </c>
      <c r="B11" s="50">
        <f>'DEPRECIACIONES '!$C$9</f>
        <v>5</v>
      </c>
      <c r="C11" s="91">
        <f>'DEPRECIACIONES '!B13</f>
        <v>2820</v>
      </c>
      <c r="D11" s="84">
        <v>0</v>
      </c>
      <c r="E11" s="84">
        <v>0</v>
      </c>
      <c r="F11" s="47">
        <f>'DEPRECIACIONES '!B14</f>
        <v>2905.4488199999996</v>
      </c>
      <c r="G11" s="84">
        <v>0</v>
      </c>
      <c r="H11" s="84">
        <v>0</v>
      </c>
    </row>
    <row r="12" spans="1:8" x14ac:dyDescent="0.4">
      <c r="A12" s="98" t="str">
        <f>'DEPRECIACIONES '!A15</f>
        <v>MAQUINARIA Y EQUIPO</v>
      </c>
      <c r="B12" s="216">
        <f>'DEPRECIACIONES '!C15</f>
        <v>10</v>
      </c>
      <c r="C12" s="91">
        <f>'DEPRECIACIONES '!B15</f>
        <v>27660</v>
      </c>
      <c r="D12" s="84"/>
      <c r="E12" s="84"/>
      <c r="F12" s="91"/>
      <c r="G12" s="84"/>
      <c r="H12" s="84"/>
    </row>
    <row r="13" spans="1:8" x14ac:dyDescent="0.4">
      <c r="A13" s="85" t="s">
        <v>33</v>
      </c>
      <c r="B13" s="112"/>
      <c r="C13" s="64">
        <f>SUM(C7:C11)</f>
        <v>86520</v>
      </c>
      <c r="D13" s="64">
        <f t="shared" ref="D13:H13" si="0">SUM(D7:D11)</f>
        <v>0</v>
      </c>
      <c r="E13" s="64">
        <f t="shared" si="0"/>
        <v>0</v>
      </c>
      <c r="F13" s="64">
        <f t="shared" si="0"/>
        <v>2905.4488199999996</v>
      </c>
      <c r="G13" s="64">
        <f t="shared" si="0"/>
        <v>0</v>
      </c>
      <c r="H13" s="64">
        <f t="shared" si="0"/>
        <v>0</v>
      </c>
    </row>
  </sheetData>
  <mergeCells count="4">
    <mergeCell ref="C4:H4"/>
    <mergeCell ref="B4:B5"/>
    <mergeCell ref="A4:A5"/>
    <mergeCell ref="A2:H2"/>
  </mergeCells>
  <pageMargins left="0.25" right="0.25" top="0.75" bottom="0.75" header="0.3" footer="0.3"/>
  <pageSetup paperSize="9" orientation="landscape" r:id="rId1"/>
  <ignoredErrors>
    <ignoredError sqref="D13:E13 G13:H13"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sheetPr>
  <dimension ref="A1:F12"/>
  <sheetViews>
    <sheetView workbookViewId="0">
      <selection activeCell="E11" sqref="E11"/>
    </sheetView>
  </sheetViews>
  <sheetFormatPr baseColWidth="10" defaultRowHeight="15" x14ac:dyDescent="0.4"/>
  <cols>
    <col min="1" max="1" width="15.75" style="4" customWidth="1"/>
    <col min="2" max="2" width="13.5" style="4" customWidth="1"/>
    <col min="3" max="3" width="14.375" style="4" customWidth="1"/>
    <col min="4" max="4" width="14.625" style="4" customWidth="1"/>
    <col min="5" max="5" width="29.5" style="34" customWidth="1"/>
    <col min="6" max="6" width="15.5" style="4" customWidth="1"/>
    <col min="7" max="16384" width="11" style="4"/>
  </cols>
  <sheetData>
    <row r="1" spans="1:6" ht="15.4" thickBot="1" x14ac:dyDescent="0.45"/>
    <row r="2" spans="1:6" ht="17.25" customHeight="1" thickBot="1" x14ac:dyDescent="0.45">
      <c r="A2" s="458" t="s">
        <v>228</v>
      </c>
      <c r="B2" s="459"/>
      <c r="C2" s="459"/>
      <c r="D2" s="459"/>
      <c r="E2" s="459"/>
      <c r="F2" s="460"/>
    </row>
    <row r="3" spans="1:6" x14ac:dyDescent="0.4">
      <c r="A3" s="455"/>
      <c r="B3" s="455"/>
      <c r="C3" s="62"/>
    </row>
    <row r="4" spans="1:6" ht="31.5" customHeight="1" x14ac:dyDescent="0.4">
      <c r="A4" s="461" t="s">
        <v>133</v>
      </c>
      <c r="B4" s="462"/>
      <c r="C4" s="457" t="s">
        <v>229</v>
      </c>
      <c r="D4" s="456" t="s">
        <v>230</v>
      </c>
      <c r="E4" s="456" t="s">
        <v>232</v>
      </c>
      <c r="F4" s="456" t="s">
        <v>231</v>
      </c>
    </row>
    <row r="5" spans="1:6" ht="15" customHeight="1" x14ac:dyDescent="0.4">
      <c r="A5" s="218" t="s">
        <v>348</v>
      </c>
      <c r="B5" s="218" t="s">
        <v>401</v>
      </c>
      <c r="C5" s="463"/>
      <c r="D5" s="457"/>
      <c r="E5" s="457"/>
      <c r="F5" s="457"/>
    </row>
    <row r="6" spans="1:6" x14ac:dyDescent="0.4">
      <c r="A6" s="199" t="s">
        <v>379</v>
      </c>
      <c r="B6" s="200" t="s">
        <v>586</v>
      </c>
      <c r="C6" s="217" t="s">
        <v>587</v>
      </c>
      <c r="D6" s="219">
        <v>0.5</v>
      </c>
      <c r="E6" s="220">
        <v>60000</v>
      </c>
      <c r="F6" s="31">
        <f>D6*E6</f>
        <v>30000</v>
      </c>
    </row>
    <row r="7" spans="1:6" x14ac:dyDescent="0.4">
      <c r="A7" s="465" t="s">
        <v>233</v>
      </c>
      <c r="B7" s="466"/>
      <c r="C7" s="466"/>
      <c r="D7" s="466"/>
      <c r="E7" s="467"/>
      <c r="F7" s="129">
        <f>SUM(F6:F6)</f>
        <v>30000</v>
      </c>
    </row>
    <row r="8" spans="1:6" x14ac:dyDescent="0.4">
      <c r="A8" s="464"/>
      <c r="B8" s="464"/>
      <c r="C8" s="61"/>
    </row>
    <row r="9" spans="1:6" x14ac:dyDescent="0.4">
      <c r="A9" s="464"/>
      <c r="B9" s="464"/>
      <c r="C9" s="61"/>
    </row>
    <row r="10" spans="1:6" x14ac:dyDescent="0.4">
      <c r="A10" s="464"/>
      <c r="B10" s="464"/>
      <c r="C10" s="61"/>
    </row>
    <row r="11" spans="1:6" x14ac:dyDescent="0.4">
      <c r="A11" s="464"/>
      <c r="B11" s="464"/>
      <c r="C11" s="61"/>
    </row>
    <row r="12" spans="1:6" x14ac:dyDescent="0.4">
      <c r="A12" s="464"/>
      <c r="B12" s="464"/>
      <c r="C12" s="61"/>
    </row>
  </sheetData>
  <mergeCells count="13">
    <mergeCell ref="A12:B12"/>
    <mergeCell ref="D4:D5"/>
    <mergeCell ref="A11:B11"/>
    <mergeCell ref="A9:B9"/>
    <mergeCell ref="A10:B10"/>
    <mergeCell ref="A8:B8"/>
    <mergeCell ref="A7:E7"/>
    <mergeCell ref="A3:B3"/>
    <mergeCell ref="F4:F5"/>
    <mergeCell ref="E4:E5"/>
    <mergeCell ref="A2:F2"/>
    <mergeCell ref="A4:B4"/>
    <mergeCell ref="C4:C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sheetPr>
  <dimension ref="A1:F7"/>
  <sheetViews>
    <sheetView workbookViewId="0">
      <selection activeCell="H10" sqref="H10"/>
    </sheetView>
  </sheetViews>
  <sheetFormatPr baseColWidth="10" defaultRowHeight="15" x14ac:dyDescent="0.4"/>
  <cols>
    <col min="1" max="1" width="10" style="4" bestFit="1" customWidth="1"/>
    <col min="2" max="2" width="15.125" style="4" bestFit="1" customWidth="1"/>
    <col min="3" max="3" width="13.875" style="4" customWidth="1"/>
    <col min="4" max="4" width="13.25" style="4" customWidth="1"/>
    <col min="5" max="5" width="19" style="4" customWidth="1"/>
    <col min="6" max="6" width="17.25" style="4" customWidth="1"/>
    <col min="7" max="16384" width="11" style="4"/>
  </cols>
  <sheetData>
    <row r="1" spans="1:6" ht="15.4" thickBot="1" x14ac:dyDescent="0.45"/>
    <row r="2" spans="1:6" ht="15.4" thickBot="1" x14ac:dyDescent="0.45">
      <c r="A2" s="458" t="s">
        <v>234</v>
      </c>
      <c r="B2" s="459"/>
      <c r="C2" s="459"/>
      <c r="D2" s="459"/>
      <c r="E2" s="459"/>
      <c r="F2" s="460"/>
    </row>
    <row r="3" spans="1:6" x14ac:dyDescent="0.4">
      <c r="A3" s="455"/>
      <c r="B3" s="455"/>
      <c r="C3" s="455"/>
      <c r="D3" s="455"/>
    </row>
    <row r="4" spans="1:6" ht="31.5" customHeight="1" x14ac:dyDescent="0.4">
      <c r="A4" s="461" t="s">
        <v>133</v>
      </c>
      <c r="B4" s="462"/>
      <c r="C4" s="457" t="s">
        <v>229</v>
      </c>
      <c r="D4" s="456" t="s">
        <v>230</v>
      </c>
      <c r="E4" s="456" t="s">
        <v>232</v>
      </c>
      <c r="F4" s="456" t="s">
        <v>231</v>
      </c>
    </row>
    <row r="5" spans="1:6" ht="15" customHeight="1" x14ac:dyDescent="0.4">
      <c r="A5" s="218" t="s">
        <v>348</v>
      </c>
      <c r="B5" s="218" t="s">
        <v>401</v>
      </c>
      <c r="C5" s="463"/>
      <c r="D5" s="457"/>
      <c r="E5" s="457"/>
      <c r="F5" s="457"/>
    </row>
    <row r="6" spans="1:6" x14ac:dyDescent="0.4">
      <c r="A6" s="199" t="s">
        <v>379</v>
      </c>
      <c r="B6" s="200" t="s">
        <v>588</v>
      </c>
      <c r="C6" s="217" t="s">
        <v>587</v>
      </c>
      <c r="D6" s="219">
        <v>0.55000000000000004</v>
      </c>
      <c r="E6" s="220">
        <v>63000</v>
      </c>
      <c r="F6" s="31">
        <f>D6*E6</f>
        <v>34650</v>
      </c>
    </row>
    <row r="7" spans="1:6" x14ac:dyDescent="0.4">
      <c r="A7" s="465" t="s">
        <v>235</v>
      </c>
      <c r="B7" s="466"/>
      <c r="C7" s="466"/>
      <c r="D7" s="466"/>
      <c r="E7" s="467"/>
      <c r="F7" s="129">
        <f>SUM(F6:F6)</f>
        <v>34650</v>
      </c>
    </row>
  </sheetData>
  <mergeCells count="9">
    <mergeCell ref="A7:E7"/>
    <mergeCell ref="A2:F2"/>
    <mergeCell ref="A3:B3"/>
    <mergeCell ref="C3:D3"/>
    <mergeCell ref="E4:E5"/>
    <mergeCell ref="F4:F5"/>
    <mergeCell ref="A4:B4"/>
    <mergeCell ref="C4:C5"/>
    <mergeCell ref="D4:D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sheetPr>
  <dimension ref="A1:F7"/>
  <sheetViews>
    <sheetView workbookViewId="0">
      <selection activeCell="A6" sqref="A6:E6"/>
    </sheetView>
  </sheetViews>
  <sheetFormatPr baseColWidth="10" defaultRowHeight="15" x14ac:dyDescent="0.4"/>
  <cols>
    <col min="1" max="1" width="10" style="4" bestFit="1" customWidth="1"/>
    <col min="2" max="2" width="15.125" style="4" bestFit="1" customWidth="1"/>
    <col min="3" max="3" width="13.875" style="4" customWidth="1"/>
    <col min="4" max="4" width="13.25" style="4" customWidth="1"/>
    <col min="5" max="5" width="19" style="4" customWidth="1"/>
    <col min="6" max="6" width="17.25" style="4" customWidth="1"/>
    <col min="7" max="16384" width="11" style="4"/>
  </cols>
  <sheetData>
    <row r="1" spans="1:6" ht="15.4" thickBot="1" x14ac:dyDescent="0.45"/>
    <row r="2" spans="1:6" ht="15.4" thickBot="1" x14ac:dyDescent="0.45">
      <c r="A2" s="458" t="s">
        <v>236</v>
      </c>
      <c r="B2" s="459"/>
      <c r="C2" s="459"/>
      <c r="D2" s="459"/>
      <c r="E2" s="459"/>
      <c r="F2" s="460"/>
    </row>
    <row r="3" spans="1:6" x14ac:dyDescent="0.4">
      <c r="A3" s="455"/>
      <c r="B3" s="455"/>
      <c r="C3" s="455"/>
      <c r="D3" s="455"/>
    </row>
    <row r="4" spans="1:6" ht="31.5" customHeight="1" x14ac:dyDescent="0.4">
      <c r="A4" s="461" t="s">
        <v>133</v>
      </c>
      <c r="B4" s="462"/>
      <c r="C4" s="457" t="s">
        <v>229</v>
      </c>
      <c r="D4" s="456" t="s">
        <v>230</v>
      </c>
      <c r="E4" s="456" t="s">
        <v>232</v>
      </c>
      <c r="F4" s="456" t="s">
        <v>231</v>
      </c>
    </row>
    <row r="5" spans="1:6" ht="15" customHeight="1" x14ac:dyDescent="0.4">
      <c r="A5" s="218" t="s">
        <v>348</v>
      </c>
      <c r="B5" s="218" t="s">
        <v>401</v>
      </c>
      <c r="C5" s="463"/>
      <c r="D5" s="457"/>
      <c r="E5" s="457"/>
      <c r="F5" s="457"/>
    </row>
    <row r="6" spans="1:6" x14ac:dyDescent="0.4">
      <c r="A6" s="199" t="s">
        <v>379</v>
      </c>
      <c r="B6" s="200" t="s">
        <v>588</v>
      </c>
      <c r="C6" s="217" t="s">
        <v>587</v>
      </c>
      <c r="D6" s="219">
        <v>0.65</v>
      </c>
      <c r="E6" s="220">
        <v>68000</v>
      </c>
      <c r="F6" s="31">
        <f>D6*E6</f>
        <v>44200</v>
      </c>
    </row>
    <row r="7" spans="1:6" x14ac:dyDescent="0.4">
      <c r="A7" s="465" t="s">
        <v>237</v>
      </c>
      <c r="B7" s="466"/>
      <c r="C7" s="466"/>
      <c r="D7" s="466"/>
      <c r="E7" s="467"/>
      <c r="F7" s="129">
        <f>SUM(F6:F6)</f>
        <v>44200</v>
      </c>
    </row>
  </sheetData>
  <mergeCells count="9">
    <mergeCell ref="A2:F2"/>
    <mergeCell ref="A4:B4"/>
    <mergeCell ref="C4:C5"/>
    <mergeCell ref="D4:D5"/>
    <mergeCell ref="A7:E7"/>
    <mergeCell ref="A3:B3"/>
    <mergeCell ref="C3:D3"/>
    <mergeCell ref="E4:E5"/>
    <mergeCell ref="F4:F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sheetPr>
  <dimension ref="A1:F7"/>
  <sheetViews>
    <sheetView workbookViewId="0">
      <selection activeCell="A6" sqref="A6:E6"/>
    </sheetView>
  </sheetViews>
  <sheetFormatPr baseColWidth="10" defaultRowHeight="15" x14ac:dyDescent="0.4"/>
  <cols>
    <col min="1" max="1" width="10" style="4" bestFit="1" customWidth="1"/>
    <col min="2" max="2" width="15.125" style="4" bestFit="1" customWidth="1"/>
    <col min="3" max="3" width="13.875" style="4" customWidth="1"/>
    <col min="4" max="4" width="13.25" style="4" customWidth="1"/>
    <col min="5" max="5" width="19" style="4" customWidth="1"/>
    <col min="6" max="6" width="17.25" style="4" customWidth="1"/>
    <col min="7" max="16384" width="11" style="4"/>
  </cols>
  <sheetData>
    <row r="1" spans="1:6" ht="15.4" thickBot="1" x14ac:dyDescent="0.45"/>
    <row r="2" spans="1:6" ht="15.4" thickBot="1" x14ac:dyDescent="0.45">
      <c r="A2" s="458" t="s">
        <v>238</v>
      </c>
      <c r="B2" s="459"/>
      <c r="C2" s="459"/>
      <c r="D2" s="459"/>
      <c r="E2" s="459"/>
      <c r="F2" s="460"/>
    </row>
    <row r="3" spans="1:6" x14ac:dyDescent="0.4">
      <c r="A3" s="455"/>
      <c r="B3" s="455"/>
      <c r="C3" s="455"/>
      <c r="D3" s="455"/>
    </row>
    <row r="4" spans="1:6" ht="31.5" customHeight="1" x14ac:dyDescent="0.4">
      <c r="A4" s="461" t="s">
        <v>133</v>
      </c>
      <c r="B4" s="462"/>
      <c r="C4" s="457" t="s">
        <v>229</v>
      </c>
      <c r="D4" s="456" t="s">
        <v>230</v>
      </c>
      <c r="E4" s="456" t="s">
        <v>232</v>
      </c>
      <c r="F4" s="456" t="s">
        <v>231</v>
      </c>
    </row>
    <row r="5" spans="1:6" ht="15" customHeight="1" x14ac:dyDescent="0.4">
      <c r="A5" s="218" t="s">
        <v>348</v>
      </c>
      <c r="B5" s="218" t="s">
        <v>401</v>
      </c>
      <c r="C5" s="463"/>
      <c r="D5" s="457"/>
      <c r="E5" s="457"/>
      <c r="F5" s="457"/>
    </row>
    <row r="6" spans="1:6" x14ac:dyDescent="0.4">
      <c r="A6" s="199" t="s">
        <v>379</v>
      </c>
      <c r="B6" s="200" t="s">
        <v>588</v>
      </c>
      <c r="C6" s="217" t="s">
        <v>587</v>
      </c>
      <c r="D6" s="219">
        <v>0.7</v>
      </c>
      <c r="E6" s="220">
        <v>72000</v>
      </c>
      <c r="F6" s="31">
        <f>D6*E6</f>
        <v>50400</v>
      </c>
    </row>
    <row r="7" spans="1:6" x14ac:dyDescent="0.4">
      <c r="A7" s="465" t="s">
        <v>239</v>
      </c>
      <c r="B7" s="466"/>
      <c r="C7" s="466"/>
      <c r="D7" s="466"/>
      <c r="E7" s="467"/>
      <c r="F7" s="129">
        <f>SUM(F6:F6)</f>
        <v>50400</v>
      </c>
    </row>
  </sheetData>
  <mergeCells count="9">
    <mergeCell ref="A2:F2"/>
    <mergeCell ref="A4:B4"/>
    <mergeCell ref="C4:C5"/>
    <mergeCell ref="D4:D5"/>
    <mergeCell ref="A7:E7"/>
    <mergeCell ref="A3:B3"/>
    <mergeCell ref="C3:D3"/>
    <mergeCell ref="E4:E5"/>
    <mergeCell ref="F4:F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sheetPr>
  <dimension ref="A1:F7"/>
  <sheetViews>
    <sheetView workbookViewId="0">
      <selection activeCell="E6" sqref="E6"/>
    </sheetView>
  </sheetViews>
  <sheetFormatPr baseColWidth="10" defaultRowHeight="15" x14ac:dyDescent="0.4"/>
  <cols>
    <col min="1" max="1" width="10" style="4" bestFit="1" customWidth="1"/>
    <col min="2" max="2" width="15.125" style="4" bestFit="1" customWidth="1"/>
    <col min="3" max="3" width="13.875" style="4" customWidth="1"/>
    <col min="4" max="4" width="13.25" style="4" customWidth="1"/>
    <col min="5" max="5" width="19" style="4" customWidth="1"/>
    <col min="6" max="6" width="17.25" style="4" customWidth="1"/>
    <col min="7" max="16384" width="11" style="4"/>
  </cols>
  <sheetData>
    <row r="1" spans="1:6" ht="15.4" thickBot="1" x14ac:dyDescent="0.45"/>
    <row r="2" spans="1:6" ht="15.4" thickBot="1" x14ac:dyDescent="0.45">
      <c r="A2" s="458" t="s">
        <v>238</v>
      </c>
      <c r="B2" s="459"/>
      <c r="C2" s="459"/>
      <c r="D2" s="459"/>
      <c r="E2" s="459"/>
      <c r="F2" s="460"/>
    </row>
    <row r="3" spans="1:6" x14ac:dyDescent="0.4">
      <c r="A3" s="455"/>
      <c r="B3" s="455"/>
      <c r="C3" s="455"/>
      <c r="D3" s="455"/>
    </row>
    <row r="4" spans="1:6" ht="31.5" customHeight="1" x14ac:dyDescent="0.4">
      <c r="A4" s="461" t="s">
        <v>133</v>
      </c>
      <c r="B4" s="462"/>
      <c r="C4" s="457" t="s">
        <v>229</v>
      </c>
      <c r="D4" s="456" t="s">
        <v>230</v>
      </c>
      <c r="E4" s="456" t="s">
        <v>232</v>
      </c>
      <c r="F4" s="456" t="s">
        <v>231</v>
      </c>
    </row>
    <row r="5" spans="1:6" ht="15" customHeight="1" x14ac:dyDescent="0.4">
      <c r="A5" s="218" t="s">
        <v>348</v>
      </c>
      <c r="B5" s="218" t="s">
        <v>401</v>
      </c>
      <c r="C5" s="463"/>
      <c r="D5" s="457"/>
      <c r="E5" s="457"/>
      <c r="F5" s="457"/>
    </row>
    <row r="6" spans="1:6" x14ac:dyDescent="0.4">
      <c r="A6" s="199" t="s">
        <v>379</v>
      </c>
      <c r="B6" s="200" t="s">
        <v>588</v>
      </c>
      <c r="C6" s="217" t="s">
        <v>587</v>
      </c>
      <c r="D6" s="219">
        <v>0.75</v>
      </c>
      <c r="E6" s="220">
        <v>78000</v>
      </c>
      <c r="F6" s="31">
        <f>D6*E6</f>
        <v>58500</v>
      </c>
    </row>
    <row r="7" spans="1:6" x14ac:dyDescent="0.4">
      <c r="A7" s="465" t="s">
        <v>240</v>
      </c>
      <c r="B7" s="466"/>
      <c r="C7" s="466"/>
      <c r="D7" s="466"/>
      <c r="E7" s="467"/>
      <c r="F7" s="129">
        <f>SUM(F6:F6)</f>
        <v>58500</v>
      </c>
    </row>
  </sheetData>
  <mergeCells count="9">
    <mergeCell ref="A2:F2"/>
    <mergeCell ref="A4:B4"/>
    <mergeCell ref="C4:C5"/>
    <mergeCell ref="D4:D5"/>
    <mergeCell ref="A7:E7"/>
    <mergeCell ref="A3:B3"/>
    <mergeCell ref="C3:D3"/>
    <mergeCell ref="E4:E5"/>
    <mergeCell ref="F4:F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sheetPr>
  <dimension ref="A1:B10"/>
  <sheetViews>
    <sheetView workbookViewId="0">
      <selection activeCell="B10" sqref="B10"/>
    </sheetView>
  </sheetViews>
  <sheetFormatPr baseColWidth="10" defaultColWidth="18.375" defaultRowHeight="15" x14ac:dyDescent="0.4"/>
  <cols>
    <col min="1" max="16384" width="18.375" style="4"/>
  </cols>
  <sheetData>
    <row r="1" spans="1:2" ht="15.4" thickBot="1" x14ac:dyDescent="0.45"/>
    <row r="2" spans="1:2" ht="17.25" customHeight="1" thickBot="1" x14ac:dyDescent="0.45">
      <c r="A2" s="468" t="s">
        <v>241</v>
      </c>
      <c r="B2" s="469"/>
    </row>
    <row r="3" spans="1:2" ht="15.4" thickBot="1" x14ac:dyDescent="0.45"/>
    <row r="4" spans="1:2" ht="15.4" thickBot="1" x14ac:dyDescent="0.45">
      <c r="A4" s="223" t="s">
        <v>165</v>
      </c>
      <c r="B4" s="224" t="s">
        <v>231</v>
      </c>
    </row>
    <row r="5" spans="1:2" x14ac:dyDescent="0.4">
      <c r="A5" s="221">
        <v>2022</v>
      </c>
      <c r="B5" s="222">
        <f>'CUADRO DE INGRESOS AÑO 1'!F7</f>
        <v>30000</v>
      </c>
    </row>
    <row r="6" spans="1:2" x14ac:dyDescent="0.4">
      <c r="A6" s="36">
        <v>2023</v>
      </c>
      <c r="B6" s="37">
        <f>'CUADRO DE INGRESOS AÑO 2'!F7</f>
        <v>34650</v>
      </c>
    </row>
    <row r="7" spans="1:2" x14ac:dyDescent="0.4">
      <c r="A7" s="36">
        <v>2024</v>
      </c>
      <c r="B7" s="37">
        <f>'CUADRO DE INGRESOS AÑO 3'!F7</f>
        <v>44200</v>
      </c>
    </row>
    <row r="8" spans="1:2" x14ac:dyDescent="0.4">
      <c r="A8" s="36">
        <v>2025</v>
      </c>
      <c r="B8" s="37">
        <f>'CUADRO DE INGRESOS AÑO 4'!F7</f>
        <v>50400</v>
      </c>
    </row>
    <row r="9" spans="1:2" ht="15.4" thickBot="1" x14ac:dyDescent="0.45">
      <c r="A9" s="225">
        <v>2026</v>
      </c>
      <c r="B9" s="226">
        <f>'CUADRO DE INGRESOS AÑO 5'!F7</f>
        <v>58500</v>
      </c>
    </row>
    <row r="10" spans="1:2" ht="15.4" thickBot="1" x14ac:dyDescent="0.45">
      <c r="A10" s="223" t="s">
        <v>103</v>
      </c>
      <c r="B10" s="227">
        <f>SUM(B5:B9)</f>
        <v>217750</v>
      </c>
    </row>
  </sheetData>
  <mergeCells count="1">
    <mergeCell ref="A2:B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sheetPr>
  <dimension ref="A1:D21"/>
  <sheetViews>
    <sheetView zoomScaleNormal="100" workbookViewId="0">
      <selection sqref="A1:D21"/>
    </sheetView>
  </sheetViews>
  <sheetFormatPr baseColWidth="10" defaultRowHeight="15" x14ac:dyDescent="0.4"/>
  <cols>
    <col min="1" max="1" width="42" style="1" customWidth="1"/>
    <col min="2" max="2" width="34.75" style="1" customWidth="1"/>
    <col min="3" max="3" width="16.375" style="1" customWidth="1"/>
    <col min="4" max="4" width="69" style="1" customWidth="1"/>
    <col min="5" max="16384" width="11" style="1"/>
  </cols>
  <sheetData>
    <row r="1" spans="1:4" ht="33" customHeight="1" thickBot="1" x14ac:dyDescent="0.45">
      <c r="A1" s="468" t="s">
        <v>201</v>
      </c>
      <c r="B1" s="471"/>
      <c r="C1" s="471"/>
      <c r="D1" s="469"/>
    </row>
    <row r="3" spans="1:4" ht="31.5" customHeight="1" x14ac:dyDescent="0.4">
      <c r="A3" s="30" t="s">
        <v>85</v>
      </c>
      <c r="B3" s="30" t="s">
        <v>438</v>
      </c>
      <c r="C3" s="30" t="s">
        <v>84</v>
      </c>
      <c r="D3" s="30" t="s">
        <v>83</v>
      </c>
    </row>
    <row r="4" spans="1:4" ht="27" customHeight="1" x14ac:dyDescent="0.4">
      <c r="A4" s="113" t="s">
        <v>82</v>
      </c>
      <c r="B4" s="114" t="s">
        <v>167</v>
      </c>
      <c r="C4" s="115"/>
      <c r="D4" s="116"/>
    </row>
    <row r="5" spans="1:4" x14ac:dyDescent="0.4">
      <c r="A5" s="117" t="s">
        <v>81</v>
      </c>
      <c r="B5" s="117"/>
      <c r="C5" s="118" t="s">
        <v>169</v>
      </c>
      <c r="D5" s="118" t="s">
        <v>439</v>
      </c>
    </row>
    <row r="6" spans="1:4" x14ac:dyDescent="0.4">
      <c r="A6" s="119" t="s">
        <v>80</v>
      </c>
      <c r="B6" s="120" t="s">
        <v>440</v>
      </c>
      <c r="C6" s="121"/>
      <c r="D6" s="121"/>
    </row>
    <row r="7" spans="1:4" ht="34.5" customHeight="1" x14ac:dyDescent="0.4">
      <c r="A7" s="117" t="s">
        <v>79</v>
      </c>
      <c r="B7" s="472"/>
      <c r="C7" s="117" t="s">
        <v>168</v>
      </c>
      <c r="D7" s="122" t="s">
        <v>443</v>
      </c>
    </row>
    <row r="8" spans="1:4" ht="27.75" customHeight="1" x14ac:dyDescent="0.4">
      <c r="A8" s="117" t="s">
        <v>78</v>
      </c>
      <c r="B8" s="473"/>
      <c r="C8" s="117" t="s">
        <v>170</v>
      </c>
      <c r="D8" s="123" t="s">
        <v>171</v>
      </c>
    </row>
    <row r="9" spans="1:4" ht="36.75" customHeight="1" x14ac:dyDescent="0.4">
      <c r="A9" s="117" t="s">
        <v>77</v>
      </c>
      <c r="B9" s="473"/>
      <c r="C9" s="117" t="s">
        <v>168</v>
      </c>
      <c r="D9" s="122" t="s">
        <v>444</v>
      </c>
    </row>
    <row r="10" spans="1:4" ht="37.5" customHeight="1" x14ac:dyDescent="0.4">
      <c r="A10" s="117" t="s">
        <v>76</v>
      </c>
      <c r="B10" s="473"/>
      <c r="C10" s="117" t="s">
        <v>168</v>
      </c>
      <c r="D10" s="122" t="s">
        <v>446</v>
      </c>
    </row>
    <row r="11" spans="1:4" x14ac:dyDescent="0.4">
      <c r="A11" s="117" t="s">
        <v>441</v>
      </c>
      <c r="B11" s="473"/>
      <c r="C11" s="117" t="s">
        <v>170</v>
      </c>
      <c r="D11" s="123" t="s">
        <v>172</v>
      </c>
    </row>
    <row r="12" spans="1:4" ht="30" x14ac:dyDescent="0.4">
      <c r="A12" s="117" t="s">
        <v>442</v>
      </c>
      <c r="B12" s="474"/>
      <c r="C12" s="117" t="s">
        <v>168</v>
      </c>
      <c r="D12" s="122" t="s">
        <v>445</v>
      </c>
    </row>
    <row r="13" spans="1:4" x14ac:dyDescent="0.4">
      <c r="A13" s="119" t="s">
        <v>75</v>
      </c>
      <c r="B13" s="120" t="s">
        <v>191</v>
      </c>
      <c r="C13" s="121"/>
      <c r="D13" s="124"/>
    </row>
    <row r="14" spans="1:4" ht="20.25" customHeight="1" x14ac:dyDescent="0.4">
      <c r="A14" s="117" t="s">
        <v>74</v>
      </c>
      <c r="B14" s="470"/>
      <c r="C14" s="117" t="s">
        <v>170</v>
      </c>
      <c r="D14" s="123" t="s">
        <v>447</v>
      </c>
    </row>
    <row r="15" spans="1:4" ht="30.75" customHeight="1" x14ac:dyDescent="0.4">
      <c r="A15" s="117" t="s">
        <v>73</v>
      </c>
      <c r="B15" s="470"/>
      <c r="C15" s="117" t="s">
        <v>170</v>
      </c>
      <c r="D15" s="122" t="s">
        <v>444</v>
      </c>
    </row>
    <row r="16" spans="1:4" x14ac:dyDescent="0.4">
      <c r="A16" s="117" t="s">
        <v>72</v>
      </c>
      <c r="B16" s="470"/>
      <c r="C16" s="117" t="s">
        <v>170</v>
      </c>
      <c r="D16" s="123" t="s">
        <v>448</v>
      </c>
    </row>
    <row r="17" spans="1:4" x14ac:dyDescent="0.4">
      <c r="A17" s="117" t="s">
        <v>71</v>
      </c>
      <c r="B17" s="470"/>
      <c r="C17" s="117" t="s">
        <v>168</v>
      </c>
      <c r="D17" s="123" t="s">
        <v>449</v>
      </c>
    </row>
    <row r="18" spans="1:4" x14ac:dyDescent="0.4">
      <c r="A18" s="117" t="s">
        <v>70</v>
      </c>
      <c r="B18" s="470"/>
      <c r="C18" s="117" t="s">
        <v>170</v>
      </c>
      <c r="D18" s="123" t="s">
        <v>173</v>
      </c>
    </row>
    <row r="19" spans="1:4" x14ac:dyDescent="0.4">
      <c r="A19" s="119" t="s">
        <v>69</v>
      </c>
      <c r="B19" s="120" t="s">
        <v>451</v>
      </c>
      <c r="C19" s="121"/>
      <c r="D19" s="124"/>
    </row>
    <row r="20" spans="1:4" ht="36.75" customHeight="1" x14ac:dyDescent="0.4">
      <c r="A20" s="117" t="s">
        <v>68</v>
      </c>
      <c r="B20" s="470"/>
      <c r="C20" s="117" t="s">
        <v>168</v>
      </c>
      <c r="D20" s="122" t="s">
        <v>450</v>
      </c>
    </row>
    <row r="21" spans="1:4" ht="36.75" customHeight="1" x14ac:dyDescent="0.4">
      <c r="A21" s="117" t="s">
        <v>67</v>
      </c>
      <c r="B21" s="470"/>
      <c r="C21" s="117" t="s">
        <v>170</v>
      </c>
      <c r="D21" s="122" t="s">
        <v>452</v>
      </c>
    </row>
  </sheetData>
  <mergeCells count="4">
    <mergeCell ref="B20:B21"/>
    <mergeCell ref="B14:B18"/>
    <mergeCell ref="A1:D1"/>
    <mergeCell ref="B7:B12"/>
  </mergeCells>
  <pageMargins left="0.25" right="0.25"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sheetPr>
  <dimension ref="A1:K19"/>
  <sheetViews>
    <sheetView topLeftCell="A4" zoomScaleNormal="100" zoomScalePageLayoutView="60" workbookViewId="0">
      <selection activeCell="B19" sqref="B19"/>
    </sheetView>
  </sheetViews>
  <sheetFormatPr baseColWidth="10" defaultRowHeight="15" x14ac:dyDescent="0.4"/>
  <cols>
    <col min="1" max="1" width="32.875" style="4" customWidth="1"/>
    <col min="2" max="2" width="14.5" style="4" customWidth="1"/>
    <col min="3" max="3" width="11.625" style="4" customWidth="1"/>
    <col min="4" max="4" width="15.5" style="4" customWidth="1"/>
    <col min="5" max="9" width="12.75" style="4" customWidth="1"/>
    <col min="10" max="10" width="14.375" style="4" customWidth="1"/>
    <col min="11" max="11" width="11" style="4" customWidth="1"/>
    <col min="12" max="16384" width="11" style="4"/>
  </cols>
  <sheetData>
    <row r="1" spans="1:11" ht="15.4" thickBot="1" x14ac:dyDescent="0.45"/>
    <row r="2" spans="1:11" ht="31.5" customHeight="1" x14ac:dyDescent="0.4">
      <c r="A2" s="382" t="s">
        <v>155</v>
      </c>
      <c r="B2" s="383"/>
      <c r="C2" s="383"/>
      <c r="D2" s="383"/>
      <c r="E2" s="383"/>
      <c r="F2" s="383"/>
      <c r="G2" s="383"/>
      <c r="H2" s="383"/>
      <c r="I2" s="383"/>
      <c r="J2" s="384"/>
    </row>
    <row r="3" spans="1:11" ht="21.75" customHeight="1" thickBot="1" x14ac:dyDescent="0.45">
      <c r="A3" s="385"/>
      <c r="B3" s="386"/>
      <c r="C3" s="386"/>
      <c r="D3" s="386"/>
      <c r="E3" s="386"/>
      <c r="F3" s="386"/>
      <c r="G3" s="386"/>
      <c r="H3" s="386"/>
      <c r="I3" s="386"/>
      <c r="J3" s="387"/>
    </row>
    <row r="4" spans="1:11" ht="15.4" thickBot="1" x14ac:dyDescent="0.45"/>
    <row r="5" spans="1:11" x14ac:dyDescent="0.4">
      <c r="A5" s="391" t="s">
        <v>11</v>
      </c>
      <c r="B5" s="393" t="s">
        <v>12</v>
      </c>
      <c r="C5" s="393" t="s">
        <v>254</v>
      </c>
      <c r="D5" s="393" t="s">
        <v>253</v>
      </c>
      <c r="E5" s="379" t="s">
        <v>19</v>
      </c>
      <c r="F5" s="380"/>
      <c r="G5" s="380"/>
      <c r="H5" s="380"/>
      <c r="I5" s="380"/>
      <c r="J5" s="381"/>
    </row>
    <row r="6" spans="1:11" ht="45.75" customHeight="1" x14ac:dyDescent="0.4">
      <c r="A6" s="392"/>
      <c r="B6" s="394"/>
      <c r="C6" s="394"/>
      <c r="D6" s="394"/>
      <c r="E6" s="154" t="s">
        <v>13</v>
      </c>
      <c r="F6" s="154" t="s">
        <v>14</v>
      </c>
      <c r="G6" s="154" t="s">
        <v>15</v>
      </c>
      <c r="H6" s="154" t="s">
        <v>16</v>
      </c>
      <c r="I6" s="154" t="s">
        <v>17</v>
      </c>
      <c r="J6" s="155" t="s">
        <v>18</v>
      </c>
    </row>
    <row r="7" spans="1:11" x14ac:dyDescent="0.4">
      <c r="A7" s="156" t="str">
        <f>ACTIVOS!A5</f>
        <v>EDIFICIOS Y CONSTRUCCIONES</v>
      </c>
      <c r="B7" s="10">
        <f>ACTIVOS!E8</f>
        <v>70000</v>
      </c>
      <c r="C7" s="9">
        <v>3</v>
      </c>
      <c r="D7" s="157">
        <f t="shared" ref="D7:D8" si="0">100%/C7</f>
        <v>0.33333333333333331</v>
      </c>
      <c r="E7" s="10">
        <f t="shared" ref="E7" si="1">B7*D7</f>
        <v>23333.333333333332</v>
      </c>
      <c r="F7" s="10">
        <f t="shared" ref="F7" si="2">B7*D7</f>
        <v>23333.333333333332</v>
      </c>
      <c r="G7" s="10">
        <f t="shared" ref="G7" si="3">B7*D7</f>
        <v>23333.333333333332</v>
      </c>
      <c r="H7" s="10"/>
      <c r="I7" s="10"/>
      <c r="J7" s="10">
        <f t="shared" ref="J7:J8" si="4">B7-(SUM(E7:I7))</f>
        <v>0</v>
      </c>
    </row>
    <row r="8" spans="1:11" ht="30" x14ac:dyDescent="0.4">
      <c r="A8" s="158" t="s">
        <v>317</v>
      </c>
      <c r="B8" s="10">
        <f>'REAPRECIACIÓN ACTIVOS'!G8</f>
        <v>72121.070000000007</v>
      </c>
      <c r="C8" s="9">
        <v>3</v>
      </c>
      <c r="D8" s="157">
        <f t="shared" si="0"/>
        <v>0.33333333333333331</v>
      </c>
      <c r="E8" s="10"/>
      <c r="F8" s="10"/>
      <c r="G8" s="10"/>
      <c r="H8" s="10">
        <f t="shared" ref="H8" si="5">B8*D8</f>
        <v>24040.356666666667</v>
      </c>
      <c r="I8" s="10">
        <f t="shared" ref="I8" si="6">B8*D8</f>
        <v>24040.356666666667</v>
      </c>
      <c r="J8" s="10">
        <f t="shared" si="4"/>
        <v>24040.356666666674</v>
      </c>
    </row>
    <row r="9" spans="1:11" x14ac:dyDescent="0.4">
      <c r="A9" s="158" t="s">
        <v>153</v>
      </c>
      <c r="B9" s="10">
        <f>ACTIVOS!E12</f>
        <v>80000</v>
      </c>
      <c r="C9" s="9">
        <v>5</v>
      </c>
      <c r="D9" s="157">
        <f>100%/C9</f>
        <v>0.2</v>
      </c>
      <c r="E9" s="10">
        <f>B9*D9</f>
        <v>16000</v>
      </c>
      <c r="F9" s="10">
        <f>B9*D9</f>
        <v>16000</v>
      </c>
      <c r="G9" s="10">
        <f>B9*D9</f>
        <v>16000</v>
      </c>
      <c r="H9" s="10">
        <f>B9*D9</f>
        <v>16000</v>
      </c>
      <c r="I9" s="10">
        <f>B9*D9</f>
        <v>16000</v>
      </c>
      <c r="J9" s="10">
        <f>B9-(SUM(E9:I9))</f>
        <v>0</v>
      </c>
      <c r="K9" s="38"/>
    </row>
    <row r="10" spans="1:11" x14ac:dyDescent="0.4">
      <c r="A10" s="158" t="s">
        <v>20</v>
      </c>
      <c r="B10" s="10">
        <f>ACTIVOS!E16</f>
        <v>1400</v>
      </c>
      <c r="C10" s="9">
        <v>10</v>
      </c>
      <c r="D10" s="159">
        <f t="shared" ref="D10:D15" si="7">100%/C10</f>
        <v>0.1</v>
      </c>
      <c r="E10" s="160">
        <f t="shared" ref="E10:E12" si="8">B10*D10</f>
        <v>140</v>
      </c>
      <c r="F10" s="160">
        <f t="shared" ref="F10:F13" si="9">B10*D10</f>
        <v>140</v>
      </c>
      <c r="G10" s="160">
        <f t="shared" ref="G10:G13" si="10">B10*D10</f>
        <v>140</v>
      </c>
      <c r="H10" s="160">
        <f t="shared" ref="H10:H12" si="11">B10*D10</f>
        <v>140</v>
      </c>
      <c r="I10" s="160">
        <f t="shared" ref="I10:I12" si="12">B10*D10</f>
        <v>140</v>
      </c>
      <c r="J10" s="10">
        <f t="shared" ref="J10:J15" si="13">B10-(SUM(E10:I10))</f>
        <v>700</v>
      </c>
      <c r="K10" s="38"/>
    </row>
    <row r="11" spans="1:11" x14ac:dyDescent="0.4">
      <c r="A11" s="158" t="s">
        <v>4</v>
      </c>
      <c r="B11" s="10">
        <f>ACTIVOS!E21</f>
        <v>1150</v>
      </c>
      <c r="C11" s="9">
        <v>10</v>
      </c>
      <c r="D11" s="159">
        <f t="shared" si="7"/>
        <v>0.1</v>
      </c>
      <c r="E11" s="160">
        <f t="shared" si="8"/>
        <v>115</v>
      </c>
      <c r="F11" s="160">
        <f t="shared" si="9"/>
        <v>115</v>
      </c>
      <c r="G11" s="160">
        <f t="shared" si="10"/>
        <v>115</v>
      </c>
      <c r="H11" s="160">
        <f t="shared" si="11"/>
        <v>115</v>
      </c>
      <c r="I11" s="160">
        <f t="shared" si="12"/>
        <v>115</v>
      </c>
      <c r="J11" s="10">
        <f t="shared" si="13"/>
        <v>575</v>
      </c>
      <c r="K11" s="38"/>
    </row>
    <row r="12" spans="1:11" x14ac:dyDescent="0.4">
      <c r="A12" s="158" t="s">
        <v>21</v>
      </c>
      <c r="B12" s="10">
        <f>ACTIVOS!E27</f>
        <v>1150</v>
      </c>
      <c r="C12" s="9">
        <v>10</v>
      </c>
      <c r="D12" s="159">
        <f t="shared" si="7"/>
        <v>0.1</v>
      </c>
      <c r="E12" s="160">
        <f t="shared" si="8"/>
        <v>115</v>
      </c>
      <c r="F12" s="160">
        <f t="shared" si="9"/>
        <v>115</v>
      </c>
      <c r="G12" s="160">
        <f t="shared" si="10"/>
        <v>115</v>
      </c>
      <c r="H12" s="160">
        <f t="shared" si="11"/>
        <v>115</v>
      </c>
      <c r="I12" s="160">
        <f t="shared" si="12"/>
        <v>115</v>
      </c>
      <c r="J12" s="10">
        <f t="shared" si="13"/>
        <v>575</v>
      </c>
      <c r="K12" s="38"/>
    </row>
    <row r="13" spans="1:11" x14ac:dyDescent="0.4">
      <c r="A13" s="158" t="s">
        <v>296</v>
      </c>
      <c r="B13" s="10">
        <f>ACTIVOS!E32</f>
        <v>2820</v>
      </c>
      <c r="C13" s="9">
        <v>3</v>
      </c>
      <c r="D13" s="159">
        <f t="shared" si="7"/>
        <v>0.33333333333333331</v>
      </c>
      <c r="E13" s="160">
        <f>B13*D13</f>
        <v>940</v>
      </c>
      <c r="F13" s="160">
        <f t="shared" si="9"/>
        <v>940</v>
      </c>
      <c r="G13" s="160">
        <f t="shared" si="10"/>
        <v>940</v>
      </c>
      <c r="H13" s="160"/>
      <c r="I13" s="160"/>
      <c r="J13" s="10">
        <f t="shared" si="13"/>
        <v>0</v>
      </c>
      <c r="K13" s="38"/>
    </row>
    <row r="14" spans="1:11" ht="30" x14ac:dyDescent="0.4">
      <c r="A14" s="161" t="s">
        <v>318</v>
      </c>
      <c r="B14" s="162">
        <f>'REAPRECIACIÓN ACTIVOS'!G16</f>
        <v>2905.4488199999996</v>
      </c>
      <c r="C14" s="163">
        <v>3</v>
      </c>
      <c r="D14" s="159">
        <f t="shared" si="7"/>
        <v>0.33333333333333331</v>
      </c>
      <c r="E14" s="164"/>
      <c r="F14" s="162"/>
      <c r="G14" s="162"/>
      <c r="H14" s="162">
        <f>B14*D14</f>
        <v>968.48293999999987</v>
      </c>
      <c r="I14" s="162">
        <f>B14*D14</f>
        <v>968.48293999999987</v>
      </c>
      <c r="J14" s="10">
        <f t="shared" si="13"/>
        <v>968.48293999999987</v>
      </c>
      <c r="K14" s="38"/>
    </row>
    <row r="15" spans="1:11" ht="15.4" thickBot="1" x14ac:dyDescent="0.45">
      <c r="A15" s="161" t="s">
        <v>209</v>
      </c>
      <c r="B15" s="162">
        <f>ACTIVOS!E42</f>
        <v>27660</v>
      </c>
      <c r="C15" s="163">
        <v>10</v>
      </c>
      <c r="D15" s="165">
        <f t="shared" si="7"/>
        <v>0.1</v>
      </c>
      <c r="E15" s="162">
        <f>B15*D15</f>
        <v>2766</v>
      </c>
      <c r="F15" s="162">
        <f>B15*D15</f>
        <v>2766</v>
      </c>
      <c r="G15" s="162">
        <f>B15*D15</f>
        <v>2766</v>
      </c>
      <c r="H15" s="162">
        <f>B15*D15</f>
        <v>2766</v>
      </c>
      <c r="I15" s="162">
        <f>B15*D15</f>
        <v>2766</v>
      </c>
      <c r="J15" s="164">
        <f t="shared" si="13"/>
        <v>13830</v>
      </c>
      <c r="K15" s="38"/>
    </row>
    <row r="16" spans="1:11" ht="15.4" thickBot="1" x14ac:dyDescent="0.45">
      <c r="A16" s="388" t="s">
        <v>22</v>
      </c>
      <c r="B16" s="389"/>
      <c r="C16" s="389"/>
      <c r="D16" s="390"/>
      <c r="E16" s="166">
        <f>SUM(E9:E15)</f>
        <v>20076</v>
      </c>
      <c r="F16" s="167">
        <f t="shared" ref="F16:J16" si="14">SUM(F9:F15)</f>
        <v>20076</v>
      </c>
      <c r="G16" s="167">
        <f t="shared" si="14"/>
        <v>20076</v>
      </c>
      <c r="H16" s="167">
        <f t="shared" si="14"/>
        <v>20104.482940000002</v>
      </c>
      <c r="I16" s="167">
        <f t="shared" si="14"/>
        <v>20104.482940000002</v>
      </c>
      <c r="J16" s="168">
        <f t="shared" si="14"/>
        <v>16648.482940000002</v>
      </c>
    </row>
    <row r="18" spans="1:2" x14ac:dyDescent="0.4">
      <c r="A18" s="4" t="s">
        <v>436</v>
      </c>
      <c r="B18" s="153"/>
    </row>
    <row r="19" spans="1:2" x14ac:dyDescent="0.4">
      <c r="A19" s="4" t="s">
        <v>437</v>
      </c>
    </row>
  </sheetData>
  <mergeCells count="7">
    <mergeCell ref="E5:J5"/>
    <mergeCell ref="A2:J3"/>
    <mergeCell ref="A16:D16"/>
    <mergeCell ref="A5:A6"/>
    <mergeCell ref="B5:B6"/>
    <mergeCell ref="C5:C6"/>
    <mergeCell ref="D5:D6"/>
  </mergeCells>
  <pageMargins left="0.25" right="0.25" top="0.75" bottom="0.75" header="0.3" footer="0.3"/>
  <pageSetup paperSize="9" scale="95" orientation="landscape" r:id="rId1"/>
  <ignoredErrors>
    <ignoredError sqref="F9"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sheetPr>
  <dimension ref="A1:F33"/>
  <sheetViews>
    <sheetView showWhiteSpace="0" topLeftCell="A7" zoomScaleNormal="100" workbookViewId="0">
      <selection activeCell="A25" sqref="A25"/>
    </sheetView>
  </sheetViews>
  <sheetFormatPr baseColWidth="10" defaultRowHeight="12.75" x14ac:dyDescent="0.4"/>
  <cols>
    <col min="1" max="1" width="44.875" style="228" customWidth="1"/>
    <col min="2" max="6" width="11.25" style="235" customWidth="1"/>
    <col min="7" max="16384" width="11" style="228"/>
  </cols>
  <sheetData>
    <row r="1" spans="1:6" ht="25.5" customHeight="1" x14ac:dyDescent="0.4">
      <c r="A1" s="478" t="s">
        <v>42</v>
      </c>
      <c r="B1" s="478"/>
      <c r="C1" s="478"/>
      <c r="D1" s="478"/>
      <c r="E1" s="478"/>
      <c r="F1" s="478"/>
    </row>
    <row r="3" spans="1:6" ht="13.15" x14ac:dyDescent="0.4">
      <c r="A3" s="229" t="s">
        <v>189</v>
      </c>
      <c r="B3" s="230" t="s">
        <v>13</v>
      </c>
      <c r="C3" s="230" t="s">
        <v>14</v>
      </c>
      <c r="D3" s="230" t="s">
        <v>15</v>
      </c>
      <c r="E3" s="230" t="s">
        <v>16</v>
      </c>
      <c r="F3" s="230" t="s">
        <v>17</v>
      </c>
    </row>
    <row r="4" spans="1:6" ht="17.25" customHeight="1" x14ac:dyDescent="0.4">
      <c r="A4" s="231" t="s">
        <v>43</v>
      </c>
      <c r="B4" s="354">
        <f>'GASTOS ADMIN'!C3</f>
        <v>840</v>
      </c>
      <c r="C4" s="354">
        <f>+B4+(B4*0.18%)</f>
        <v>841.51199999999994</v>
      </c>
      <c r="D4" s="354">
        <f t="shared" ref="D4:F4" si="0">+C4+(C4*0.18%)</f>
        <v>843.02672159999997</v>
      </c>
      <c r="E4" s="354">
        <f t="shared" si="0"/>
        <v>844.54416969887995</v>
      </c>
      <c r="F4" s="354">
        <f t="shared" si="0"/>
        <v>846.06434920433799</v>
      </c>
    </row>
    <row r="5" spans="1:6" ht="30.75" customHeight="1" x14ac:dyDescent="0.4">
      <c r="A5" s="233" t="s">
        <v>65</v>
      </c>
      <c r="B5" s="355"/>
      <c r="C5" s="355"/>
      <c r="D5" s="355"/>
      <c r="E5" s="355"/>
      <c r="F5" s="355"/>
    </row>
    <row r="6" spans="1:6" x14ac:dyDescent="0.4">
      <c r="A6" s="231" t="str">
        <f>'GASTOS ADMIN'!A5</f>
        <v>PAGO DE SUELDO A UN GERENTE</v>
      </c>
      <c r="B6" s="356">
        <f>'GASTOS ADMIN'!B5</f>
        <v>7200</v>
      </c>
      <c r="C6" s="354">
        <f>+B6+(B6*0.18%)</f>
        <v>7212.96</v>
      </c>
      <c r="D6" s="354">
        <f t="shared" ref="D6:F6" si="1">+C6+(C6*0.18%)</f>
        <v>7225.9433280000003</v>
      </c>
      <c r="E6" s="354">
        <f t="shared" si="1"/>
        <v>7238.9500259904007</v>
      </c>
      <c r="F6" s="354">
        <f t="shared" si="1"/>
        <v>7251.980136037183</v>
      </c>
    </row>
    <row r="7" spans="1:6" x14ac:dyDescent="0.4">
      <c r="A7" s="231" t="str">
        <f>'GASTOS ADMIN'!A6</f>
        <v>PAGO DE SUELDO A UN CONTADOR</v>
      </c>
      <c r="B7" s="356">
        <f>'GASTOS ADMIN'!B6</f>
        <v>5400</v>
      </c>
      <c r="C7" s="354">
        <f t="shared" ref="C7:F13" si="2">+B7+(B7*0.18%)</f>
        <v>5409.72</v>
      </c>
      <c r="D7" s="354">
        <f t="shared" si="2"/>
        <v>5419.457496</v>
      </c>
      <c r="E7" s="354">
        <f t="shared" si="2"/>
        <v>5429.2125194928003</v>
      </c>
      <c r="F7" s="354">
        <f t="shared" si="2"/>
        <v>5438.9851020278875</v>
      </c>
    </row>
    <row r="8" spans="1:6" x14ac:dyDescent="0.4">
      <c r="A8" s="231" t="str">
        <f>'GASTOS ADMIN'!A7</f>
        <v>PAGO DE SUELDO A UNA ASISTENTE DE GERENCIA</v>
      </c>
      <c r="B8" s="356">
        <f>'GASTOS ADMIN'!B7</f>
        <v>5100</v>
      </c>
      <c r="C8" s="354">
        <f t="shared" si="2"/>
        <v>5109.18</v>
      </c>
      <c r="D8" s="354">
        <f t="shared" si="2"/>
        <v>5118.3765240000002</v>
      </c>
      <c r="E8" s="354">
        <f t="shared" si="2"/>
        <v>5127.5896017432005</v>
      </c>
      <c r="F8" s="354">
        <f t="shared" si="2"/>
        <v>5136.8192630263384</v>
      </c>
    </row>
    <row r="9" spans="1:6" ht="25.5" x14ac:dyDescent="0.4">
      <c r="A9" s="231" t="str">
        <f>'GASTOS ADMIN'!A8</f>
        <v>PAGO DE SUELDO A UN ASISTENTE ADMINISTRATIVO</v>
      </c>
      <c r="B9" s="356">
        <f>'GASTOS ADMIN'!B8</f>
        <v>5100</v>
      </c>
      <c r="C9" s="354">
        <f t="shared" si="2"/>
        <v>5109.18</v>
      </c>
      <c r="D9" s="354">
        <f t="shared" si="2"/>
        <v>5118.3765240000002</v>
      </c>
      <c r="E9" s="354">
        <f t="shared" si="2"/>
        <v>5127.5896017432005</v>
      </c>
      <c r="F9" s="354">
        <f t="shared" si="2"/>
        <v>5136.8192630263384</v>
      </c>
    </row>
    <row r="10" spans="1:6" x14ac:dyDescent="0.4">
      <c r="A10" s="231" t="str">
        <f>'GASTOS ADMIN'!A9</f>
        <v>PAGO DE SUELDO A UN JEFE DE TALENTO HUMANO</v>
      </c>
      <c r="B10" s="356">
        <f>'GASTOS ADMIN'!B9</f>
        <v>6000</v>
      </c>
      <c r="C10" s="354">
        <f t="shared" si="2"/>
        <v>6010.8</v>
      </c>
      <c r="D10" s="354">
        <f t="shared" si="2"/>
        <v>6021.6194400000004</v>
      </c>
      <c r="E10" s="354">
        <f t="shared" si="2"/>
        <v>6032.4583549920007</v>
      </c>
      <c r="F10" s="354">
        <f t="shared" si="2"/>
        <v>6043.3167800309866</v>
      </c>
    </row>
    <row r="11" spans="1:6" x14ac:dyDescent="0.4">
      <c r="A11" s="231" t="str">
        <f>'GASTOS ADMIN'!A10</f>
        <v>PAGO DE SUELDO A UN JEFE DE SEGURIDAD</v>
      </c>
      <c r="B11" s="356">
        <f>'GASTOS ADMIN'!B10</f>
        <v>5100</v>
      </c>
      <c r="C11" s="354">
        <f t="shared" si="2"/>
        <v>5109.18</v>
      </c>
      <c r="D11" s="354">
        <f t="shared" si="2"/>
        <v>5118.3765240000002</v>
      </c>
      <c r="E11" s="354">
        <f t="shared" si="2"/>
        <v>5127.5896017432005</v>
      </c>
      <c r="F11" s="354">
        <f t="shared" si="2"/>
        <v>5136.8192630263384</v>
      </c>
    </row>
    <row r="12" spans="1:6" ht="25.5" x14ac:dyDescent="0.4">
      <c r="A12" s="231" t="str">
        <f>'GASTOS ADMIN'!A11</f>
        <v>PAGO DE SUELDO  A PERSONAL DE SEGURIDAD (GUARDIAS)</v>
      </c>
      <c r="B12" s="356">
        <f>'GASTOS ADMIN'!B11</f>
        <v>10200</v>
      </c>
      <c r="C12" s="354">
        <f t="shared" si="2"/>
        <v>10218.36</v>
      </c>
      <c r="D12" s="354">
        <f t="shared" si="2"/>
        <v>10236.753048</v>
      </c>
      <c r="E12" s="354">
        <f t="shared" si="2"/>
        <v>10255.179203486401</v>
      </c>
      <c r="F12" s="354">
        <f t="shared" si="2"/>
        <v>10273.638526052677</v>
      </c>
    </row>
    <row r="13" spans="1:6" ht="25.5" x14ac:dyDescent="0.4">
      <c r="A13" s="231" t="str">
        <f>'GASTOS ADMIN'!A12</f>
        <v>PAGO DE SUELDO A PERSONAL DE SERVICIOS GENERALES</v>
      </c>
      <c r="B13" s="356">
        <f>'GASTOS ADMIN'!B12</f>
        <v>5100</v>
      </c>
      <c r="C13" s="354">
        <f t="shared" si="2"/>
        <v>5109.18</v>
      </c>
      <c r="D13" s="354">
        <f t="shared" si="2"/>
        <v>5118.3765240000002</v>
      </c>
      <c r="E13" s="354">
        <f t="shared" si="2"/>
        <v>5127.5896017432005</v>
      </c>
      <c r="F13" s="354">
        <f t="shared" si="2"/>
        <v>5136.8192630263384</v>
      </c>
    </row>
    <row r="14" spans="1:6" ht="17.25" customHeight="1" x14ac:dyDescent="0.4">
      <c r="A14" s="233" t="s">
        <v>180</v>
      </c>
      <c r="B14" s="479"/>
      <c r="C14" s="480"/>
      <c r="D14" s="480"/>
      <c r="E14" s="480"/>
      <c r="F14" s="481"/>
    </row>
    <row r="15" spans="1:6" ht="20.25" customHeight="1" x14ac:dyDescent="0.4">
      <c r="A15" s="231" t="s">
        <v>181</v>
      </c>
      <c r="B15" s="354">
        <f>SUM(B6:B13)/12</f>
        <v>4100</v>
      </c>
      <c r="C15" s="354">
        <f>SUM(C6:C13)/12</f>
        <v>4107.38</v>
      </c>
      <c r="D15" s="354">
        <f>SUM(D6:D13)/12</f>
        <v>4114.7732839999999</v>
      </c>
      <c r="E15" s="354">
        <f>SUM(E6:E13)/12</f>
        <v>4122.1798759112007</v>
      </c>
      <c r="F15" s="354">
        <f>SUM(F6:F13)/12</f>
        <v>4129.5997996878405</v>
      </c>
    </row>
    <row r="16" spans="1:6" ht="17.25" customHeight="1" x14ac:dyDescent="0.4">
      <c r="A16" s="231" t="s">
        <v>182</v>
      </c>
      <c r="B16" s="354">
        <f>386*13</f>
        <v>5018</v>
      </c>
      <c r="C16" s="354">
        <f>+B16+(B16*0.18%)</f>
        <v>5027.0324000000001</v>
      </c>
      <c r="D16" s="354">
        <f t="shared" ref="D16:F16" si="3">+C16+(C16*0.18%)</f>
        <v>5036.08105832</v>
      </c>
      <c r="E16" s="354">
        <f t="shared" si="3"/>
        <v>5045.1460042249764</v>
      </c>
      <c r="F16" s="354">
        <f t="shared" si="3"/>
        <v>5054.227267032581</v>
      </c>
    </row>
    <row r="17" spans="1:6" ht="18.75" customHeight="1" x14ac:dyDescent="0.4">
      <c r="A17" s="231" t="s">
        <v>183</v>
      </c>
      <c r="B17" s="354">
        <f>SUM(B6:B13)*11.15%</f>
        <v>5485.8</v>
      </c>
      <c r="C17" s="354">
        <f>SUM(C6:C13)*11.15%</f>
        <v>5495.6744400000007</v>
      </c>
      <c r="D17" s="354">
        <f>SUM(D6:D13)*11.15%</f>
        <v>5505.5666539919994</v>
      </c>
      <c r="E17" s="354">
        <f>SUM(E6:E13)*11.15%</f>
        <v>5515.4766739691868</v>
      </c>
      <c r="F17" s="354">
        <f>SUM(F6:F13)*11.15%</f>
        <v>5525.4045319823308</v>
      </c>
    </row>
    <row r="18" spans="1:6" ht="21" customHeight="1" x14ac:dyDescent="0.4">
      <c r="A18" s="231" t="s">
        <v>92</v>
      </c>
      <c r="B18" s="354">
        <v>0</v>
      </c>
      <c r="C18" s="354">
        <f>C15</f>
        <v>4107.38</v>
      </c>
      <c r="D18" s="354">
        <f t="shared" ref="D18:F18" si="4">D15</f>
        <v>4114.7732839999999</v>
      </c>
      <c r="E18" s="354">
        <f t="shared" si="4"/>
        <v>4122.1798759112007</v>
      </c>
      <c r="F18" s="354">
        <f t="shared" si="4"/>
        <v>4129.5997996878405</v>
      </c>
    </row>
    <row r="19" spans="1:6" x14ac:dyDescent="0.4">
      <c r="A19" s="231" t="s">
        <v>184</v>
      </c>
      <c r="B19" s="354">
        <v>0</v>
      </c>
      <c r="C19" s="354">
        <f>C15/2</f>
        <v>2053.69</v>
      </c>
      <c r="D19" s="354">
        <f t="shared" ref="D19:F19" si="5">D15/2</f>
        <v>2057.3866419999999</v>
      </c>
      <c r="E19" s="354">
        <f t="shared" si="5"/>
        <v>2061.0899379556004</v>
      </c>
      <c r="F19" s="354">
        <f t="shared" si="5"/>
        <v>2064.7998998439202</v>
      </c>
    </row>
    <row r="20" spans="1:6" ht="19.5" customHeight="1" x14ac:dyDescent="0.4">
      <c r="A20" s="231" t="s">
        <v>64</v>
      </c>
      <c r="B20" s="354">
        <f>'GASTOS ADMIN'!C19</f>
        <v>2000</v>
      </c>
      <c r="C20" s="354">
        <f>+B20+(B20*0.18%)</f>
        <v>2003.6</v>
      </c>
      <c r="D20" s="354">
        <f t="shared" ref="D20:F20" si="6">+C20+(C20*0.18%)</f>
        <v>2007.2064799999998</v>
      </c>
      <c r="E20" s="354">
        <f t="shared" si="6"/>
        <v>2010.8194516639999</v>
      </c>
      <c r="F20" s="354">
        <f t="shared" si="6"/>
        <v>2014.4389266769952</v>
      </c>
    </row>
    <row r="21" spans="1:6" ht="21.75" customHeight="1" x14ac:dyDescent="0.4">
      <c r="A21" s="232" t="s">
        <v>417</v>
      </c>
      <c r="B21" s="354">
        <f>'GASTOS ADMIN'!C20</f>
        <v>600</v>
      </c>
      <c r="C21" s="354">
        <f>+B21+(B21*0.18%)</f>
        <v>601.08000000000004</v>
      </c>
      <c r="D21" s="354">
        <f t="shared" ref="D21:F22" si="7">+C21+(C21*0.18%)</f>
        <v>602.16194400000006</v>
      </c>
      <c r="E21" s="354">
        <f t="shared" si="7"/>
        <v>603.2458354992001</v>
      </c>
      <c r="F21" s="354">
        <f t="shared" si="7"/>
        <v>604.33167800309866</v>
      </c>
    </row>
    <row r="22" spans="1:6" ht="21.75" customHeight="1" x14ac:dyDescent="0.4">
      <c r="A22" s="232" t="s">
        <v>429</v>
      </c>
      <c r="B22" s="354">
        <f>'GASTOS ADMIN'!C21</f>
        <v>400</v>
      </c>
      <c r="C22" s="354">
        <f>+B22+(B22*0.18%)</f>
        <v>400.72</v>
      </c>
      <c r="D22" s="354">
        <f t="shared" si="7"/>
        <v>401.44129600000002</v>
      </c>
      <c r="E22" s="354">
        <f t="shared" si="7"/>
        <v>402.16389033280001</v>
      </c>
      <c r="F22" s="354">
        <f t="shared" si="7"/>
        <v>402.88778533539903</v>
      </c>
    </row>
    <row r="23" spans="1:6" ht="13.15" x14ac:dyDescent="0.4">
      <c r="A23" s="234" t="s">
        <v>190</v>
      </c>
      <c r="B23" s="357">
        <f>SUM(B4:B22)</f>
        <v>67643.8</v>
      </c>
      <c r="C23" s="357">
        <f>SUM(C4:C22)</f>
        <v>73926.628840000019</v>
      </c>
      <c r="D23" s="357">
        <f>SUM(D4:D22)</f>
        <v>74059.696771912</v>
      </c>
      <c r="E23" s="357">
        <f>SUM(E4:E22)</f>
        <v>74193.004226101461</v>
      </c>
      <c r="F23" s="357">
        <f>SUM(F4:F22)</f>
        <v>74326.551633708441</v>
      </c>
    </row>
    <row r="25" spans="1:6" ht="13.15" thickBot="1" x14ac:dyDescent="0.45"/>
    <row r="26" spans="1:6" ht="23.25" customHeight="1" thickBot="1" x14ac:dyDescent="0.45">
      <c r="A26" s="475" t="s">
        <v>48</v>
      </c>
      <c r="B26" s="476"/>
      <c r="C26" s="476"/>
      <c r="D26" s="476"/>
      <c r="E26" s="476"/>
      <c r="F26" s="477"/>
    </row>
    <row r="28" spans="1:6" ht="13.15" x14ac:dyDescent="0.4">
      <c r="A28" s="229" t="s">
        <v>39</v>
      </c>
      <c r="B28" s="482" t="s">
        <v>13</v>
      </c>
      <c r="C28" s="482" t="s">
        <v>14</v>
      </c>
      <c r="D28" s="482" t="s">
        <v>15</v>
      </c>
      <c r="E28" s="482" t="s">
        <v>16</v>
      </c>
      <c r="F28" s="482" t="s">
        <v>17</v>
      </c>
    </row>
    <row r="29" spans="1:6" ht="13.15" x14ac:dyDescent="0.4">
      <c r="A29" s="237" t="s">
        <v>174</v>
      </c>
      <c r="B29" s="483"/>
      <c r="C29" s="483"/>
      <c r="D29" s="483"/>
      <c r="E29" s="483"/>
      <c r="F29" s="483"/>
    </row>
    <row r="30" spans="1:6" x14ac:dyDescent="0.4">
      <c r="A30" s="236" t="s">
        <v>175</v>
      </c>
      <c r="B30" s="354">
        <f>'GASTO NO OPERACIONAL '!C5</f>
        <v>60</v>
      </c>
      <c r="C30" s="354">
        <f>+B30+(B30*0.18%)</f>
        <v>60.107999999999997</v>
      </c>
      <c r="D30" s="354">
        <f t="shared" ref="D30:F32" si="8">+C30+(C30*0.18%)</f>
        <v>60.216194399999999</v>
      </c>
      <c r="E30" s="354">
        <f t="shared" si="8"/>
        <v>60.32458354992</v>
      </c>
      <c r="F30" s="354">
        <f t="shared" si="8"/>
        <v>60.433167800309853</v>
      </c>
    </row>
    <row r="31" spans="1:6" ht="13.15" x14ac:dyDescent="0.4">
      <c r="A31" s="237" t="s">
        <v>176</v>
      </c>
      <c r="B31" s="355"/>
      <c r="C31" s="355"/>
      <c r="D31" s="355"/>
      <c r="E31" s="355"/>
      <c r="F31" s="355"/>
    </row>
    <row r="32" spans="1:6" x14ac:dyDescent="0.4">
      <c r="A32" s="236" t="s">
        <v>47</v>
      </c>
      <c r="B32" s="354">
        <f>'GASTO NO OPERACIONAL '!C7</f>
        <v>3382.1900000000005</v>
      </c>
      <c r="C32" s="354">
        <f>+B32+(B32*0.18%)</f>
        <v>3388.2779420000006</v>
      </c>
      <c r="D32" s="354">
        <f t="shared" si="8"/>
        <v>3394.3768422956005</v>
      </c>
      <c r="E32" s="354">
        <f t="shared" si="8"/>
        <v>3400.4867206117324</v>
      </c>
      <c r="F32" s="354">
        <f t="shared" si="8"/>
        <v>3406.6075967088336</v>
      </c>
    </row>
    <row r="33" spans="1:6" ht="13.15" x14ac:dyDescent="0.4">
      <c r="A33" s="237" t="s">
        <v>177</v>
      </c>
      <c r="B33" s="355">
        <f>SUM(B30:B32)</f>
        <v>3442.1900000000005</v>
      </c>
      <c r="C33" s="355">
        <f>SUM(C30:C32)</f>
        <v>3448.3859420000008</v>
      </c>
      <c r="D33" s="355">
        <f>SUM(D30:D32)</f>
        <v>3454.5930366956004</v>
      </c>
      <c r="E33" s="355">
        <f>SUM(E30:E32)</f>
        <v>3460.8113041616525</v>
      </c>
      <c r="F33" s="355">
        <f>SUM(F30:F32)</f>
        <v>3467.0407645091436</v>
      </c>
    </row>
  </sheetData>
  <mergeCells count="8">
    <mergeCell ref="A26:F26"/>
    <mergeCell ref="A1:F1"/>
    <mergeCell ref="B14:F14"/>
    <mergeCell ref="B28:B29"/>
    <mergeCell ref="C28:C29"/>
    <mergeCell ref="D28:D29"/>
    <mergeCell ref="E28:E29"/>
    <mergeCell ref="F28:F29"/>
  </mergeCells>
  <pageMargins left="0.25" right="0.25" top="0.75" bottom="0.75" header="0.3" footer="0.3"/>
  <pageSetup paperSize="9" scale="81" orientation="portrait" r:id="rId1"/>
  <rowBreaks count="1" manualBreakCount="1">
    <brk id="35" max="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sheetPr>
  <dimension ref="A1:F12"/>
  <sheetViews>
    <sheetView zoomScaleNormal="100" workbookViewId="0">
      <selection activeCell="A7" sqref="A7:XFD7"/>
    </sheetView>
  </sheetViews>
  <sheetFormatPr baseColWidth="10" defaultRowHeight="15" x14ac:dyDescent="0.4"/>
  <cols>
    <col min="1" max="1" width="27.625" style="1" customWidth="1"/>
    <col min="2" max="6" width="14.5" style="1" customWidth="1"/>
    <col min="7" max="16384" width="11" style="1"/>
  </cols>
  <sheetData>
    <row r="1" spans="1:6" ht="17.25" customHeight="1" thickBot="1" x14ac:dyDescent="0.45">
      <c r="A1" s="468" t="s">
        <v>242</v>
      </c>
      <c r="B1" s="471"/>
      <c r="C1" s="471"/>
      <c r="D1" s="471"/>
      <c r="E1" s="471"/>
      <c r="F1" s="469"/>
    </row>
    <row r="3" spans="1:6" x14ac:dyDescent="0.4">
      <c r="A3" s="484" t="s">
        <v>98</v>
      </c>
      <c r="B3" s="486" t="s">
        <v>97</v>
      </c>
      <c r="C3" s="486"/>
      <c r="D3" s="486"/>
      <c r="E3" s="486"/>
      <c r="F3" s="486"/>
    </row>
    <row r="4" spans="1:6" x14ac:dyDescent="0.4">
      <c r="A4" s="485"/>
      <c r="B4" s="35">
        <v>1</v>
      </c>
      <c r="C4" s="35">
        <v>2</v>
      </c>
      <c r="D4" s="35">
        <v>3</v>
      </c>
      <c r="E4" s="35">
        <v>4</v>
      </c>
      <c r="F4" s="35">
        <v>5</v>
      </c>
    </row>
    <row r="5" spans="1:6" ht="22.5" customHeight="1" x14ac:dyDescent="0.4">
      <c r="A5" s="487" t="s">
        <v>96</v>
      </c>
      <c r="B5" s="488"/>
      <c r="C5" s="488"/>
      <c r="D5" s="488"/>
      <c r="E5" s="488"/>
      <c r="F5" s="489"/>
    </row>
    <row r="6" spans="1:6" x14ac:dyDescent="0.4">
      <c r="A6" s="117" t="s">
        <v>80</v>
      </c>
      <c r="B6" s="125">
        <f>'GASTOS ADM-VEN-NO OPER'!B23</f>
        <v>67643.8</v>
      </c>
      <c r="C6" s="125">
        <f>'GASTOS ADM-VEN-NO OPER'!C23</f>
        <v>73926.628840000019</v>
      </c>
      <c r="D6" s="125">
        <f>'GASTOS ADM-VEN-NO OPER'!D23</f>
        <v>74059.696771912</v>
      </c>
      <c r="E6" s="125">
        <f>'GASTOS ADM-VEN-NO OPER'!E23</f>
        <v>74193.004226101461</v>
      </c>
      <c r="F6" s="125">
        <f>'GASTOS ADM-VEN-NO OPER'!F23</f>
        <v>74326.551633708441</v>
      </c>
    </row>
    <row r="7" spans="1:6" x14ac:dyDescent="0.4">
      <c r="A7" s="117" t="s">
        <v>95</v>
      </c>
      <c r="B7" s="125">
        <f>'DEPRECIACIONES '!E16</f>
        <v>20076</v>
      </c>
      <c r="C7" s="125">
        <f>'DEPRECIACIONES '!F16</f>
        <v>20076</v>
      </c>
      <c r="D7" s="125">
        <f>'DEPRECIACIONES '!G16</f>
        <v>20076</v>
      </c>
      <c r="E7" s="125">
        <f>'DEPRECIACIONES '!H16</f>
        <v>20104.482940000002</v>
      </c>
      <c r="F7" s="125">
        <f>'DEPRECIACIONES '!I16</f>
        <v>20104.482940000002</v>
      </c>
    </row>
    <row r="8" spans="1:6" x14ac:dyDescent="0.4">
      <c r="A8" s="117" t="s">
        <v>94</v>
      </c>
      <c r="B8" s="125">
        <f>AMORTIZACIONES!E12</f>
        <v>1400</v>
      </c>
      <c r="C8" s="125">
        <f>AMORTIZACIONES!F12</f>
        <v>1400</v>
      </c>
      <c r="D8" s="125">
        <f>AMORTIZACIONES!G12</f>
        <v>1400</v>
      </c>
      <c r="E8" s="125">
        <f>AMORTIZACIONES!H12</f>
        <v>1400</v>
      </c>
      <c r="F8" s="125">
        <f>AMORTIZACIONES!I12</f>
        <v>1400</v>
      </c>
    </row>
    <row r="9" spans="1:6" ht="21.75" customHeight="1" x14ac:dyDescent="0.4">
      <c r="A9" s="487" t="s">
        <v>69</v>
      </c>
      <c r="B9" s="488"/>
      <c r="C9" s="488"/>
      <c r="D9" s="488"/>
      <c r="E9" s="488"/>
      <c r="F9" s="489"/>
    </row>
    <row r="10" spans="1:6" x14ac:dyDescent="0.4">
      <c r="A10" s="117" t="s">
        <v>68</v>
      </c>
      <c r="B10" s="125">
        <f>'GASTOS ADM-VEN-NO OPER'!B30</f>
        <v>60</v>
      </c>
      <c r="C10" s="125">
        <f>'GASTOS ADM-VEN-NO OPER'!C30</f>
        <v>60.107999999999997</v>
      </c>
      <c r="D10" s="125">
        <f>'GASTOS ADM-VEN-NO OPER'!D30</f>
        <v>60.216194399999999</v>
      </c>
      <c r="E10" s="125">
        <f>'GASTOS ADM-VEN-NO OPER'!E30</f>
        <v>60.32458354992</v>
      </c>
      <c r="F10" s="125">
        <f>'GASTOS ADM-VEN-NO OPER'!F30</f>
        <v>60.433167800309853</v>
      </c>
    </row>
    <row r="11" spans="1:6" x14ac:dyDescent="0.4">
      <c r="A11" s="117" t="s">
        <v>67</v>
      </c>
      <c r="B11" s="125">
        <f>'GASTOS ADM-VEN-NO OPER'!B32</f>
        <v>3382.1900000000005</v>
      </c>
      <c r="C11" s="125">
        <f>'GASTOS ADM-VEN-NO OPER'!C32</f>
        <v>3388.2779420000006</v>
      </c>
      <c r="D11" s="125">
        <f>'GASTOS ADM-VEN-NO OPER'!D32</f>
        <v>3394.3768422956005</v>
      </c>
      <c r="E11" s="125">
        <f>'GASTOS ADM-VEN-NO OPER'!E32</f>
        <v>3400.4867206117324</v>
      </c>
      <c r="F11" s="125">
        <f>'GASTOS ADM-VEN-NO OPER'!F32</f>
        <v>3406.6075967088336</v>
      </c>
    </row>
    <row r="12" spans="1:6" x14ac:dyDescent="0.4">
      <c r="A12" s="119" t="s">
        <v>93</v>
      </c>
      <c r="B12" s="126">
        <f>SUM(B6:B8,B10:B11)</f>
        <v>92561.99</v>
      </c>
      <c r="C12" s="126">
        <f>SUM(C6:C8,C10:C11)</f>
        <v>98851.014782000013</v>
      </c>
      <c r="D12" s="126">
        <f>SUM(D6:D8,D10:D11)</f>
        <v>98990.289808607602</v>
      </c>
      <c r="E12" s="126">
        <f>SUM(E6:E8,E10:E11)</f>
        <v>99158.298470263122</v>
      </c>
      <c r="F12" s="126">
        <f>SUM(F6:F8,F10:F11)</f>
        <v>99298.07533821759</v>
      </c>
    </row>
  </sheetData>
  <mergeCells count="5">
    <mergeCell ref="A1:F1"/>
    <mergeCell ref="A3:A4"/>
    <mergeCell ref="B3:F3"/>
    <mergeCell ref="A5:F5"/>
    <mergeCell ref="A9:F9"/>
  </mergeCells>
  <pageMargins left="0.25" right="0.25"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sheetPr>
  <dimension ref="A1:F37"/>
  <sheetViews>
    <sheetView topLeftCell="A19" workbookViewId="0">
      <selection activeCell="A8" sqref="A8:E8"/>
    </sheetView>
  </sheetViews>
  <sheetFormatPr baseColWidth="10" defaultRowHeight="15" x14ac:dyDescent="0.4"/>
  <cols>
    <col min="1" max="1" width="11" style="4"/>
    <col min="2" max="2" width="15.5" style="4" customWidth="1"/>
    <col min="3" max="3" width="14.625" style="4" customWidth="1"/>
    <col min="4" max="4" width="15.375" style="4" customWidth="1"/>
    <col min="5" max="5" width="17.625" style="4" customWidth="1"/>
    <col min="6" max="6" width="24.875" style="60" customWidth="1"/>
    <col min="7" max="16384" width="11" style="4"/>
  </cols>
  <sheetData>
    <row r="1" spans="1:6" ht="15.4" thickBot="1" x14ac:dyDescent="0.45"/>
    <row r="2" spans="1:6" ht="17.25" customHeight="1" thickBot="1" x14ac:dyDescent="0.45">
      <c r="A2" s="502" t="s">
        <v>158</v>
      </c>
      <c r="B2" s="503"/>
      <c r="C2" s="503"/>
      <c r="D2" s="503"/>
      <c r="E2" s="503"/>
      <c r="F2" s="504"/>
    </row>
    <row r="3" spans="1:6" ht="15.4" thickBot="1" x14ac:dyDescent="0.45">
      <c r="A3" s="490"/>
      <c r="B3" s="490"/>
      <c r="C3" s="490"/>
      <c r="D3" s="490"/>
      <c r="E3" s="153"/>
      <c r="F3" s="358"/>
    </row>
    <row r="4" spans="1:6" ht="15.4" thickBot="1" x14ac:dyDescent="0.45">
      <c r="A4" s="493" t="s">
        <v>453</v>
      </c>
      <c r="B4" s="494"/>
      <c r="C4" s="494"/>
      <c r="D4" s="494"/>
      <c r="E4" s="494"/>
      <c r="F4" s="495"/>
    </row>
    <row r="5" spans="1:6" x14ac:dyDescent="0.4">
      <c r="A5" s="490"/>
      <c r="B5" s="490"/>
      <c r="C5" s="359"/>
      <c r="D5" s="153"/>
      <c r="E5" s="360"/>
      <c r="F5" s="153"/>
    </row>
    <row r="6" spans="1:6" x14ac:dyDescent="0.4">
      <c r="A6" s="491" t="s">
        <v>133</v>
      </c>
      <c r="B6" s="492"/>
      <c r="C6" s="496" t="s">
        <v>229</v>
      </c>
      <c r="D6" s="498" t="s">
        <v>230</v>
      </c>
      <c r="E6" s="498" t="s">
        <v>232</v>
      </c>
      <c r="F6" s="498" t="s">
        <v>231</v>
      </c>
    </row>
    <row r="7" spans="1:6" x14ac:dyDescent="0.4">
      <c r="A7" s="361" t="s">
        <v>348</v>
      </c>
      <c r="B7" s="361" t="s">
        <v>401</v>
      </c>
      <c r="C7" s="497"/>
      <c r="D7" s="496"/>
      <c r="E7" s="496"/>
      <c r="F7" s="496"/>
    </row>
    <row r="8" spans="1:6" x14ac:dyDescent="0.4">
      <c r="A8" s="199" t="s">
        <v>379</v>
      </c>
      <c r="B8" s="200" t="s">
        <v>586</v>
      </c>
      <c r="C8" s="217" t="s">
        <v>587</v>
      </c>
      <c r="D8" s="219">
        <v>0.5</v>
      </c>
      <c r="E8" s="220">
        <v>60000</v>
      </c>
      <c r="F8" s="362">
        <f>D8*E8</f>
        <v>30000</v>
      </c>
    </row>
    <row r="9" spans="1:6" x14ac:dyDescent="0.4">
      <c r="A9" s="499" t="s">
        <v>454</v>
      </c>
      <c r="B9" s="500"/>
      <c r="C9" s="500"/>
      <c r="D9" s="500"/>
      <c r="E9" s="501"/>
      <c r="F9" s="363">
        <f>SUM(F8:F8)</f>
        <v>30000</v>
      </c>
    </row>
    <row r="10" spans="1:6" ht="15.4" thickBot="1" x14ac:dyDescent="0.45">
      <c r="A10" s="153"/>
      <c r="B10" s="153"/>
      <c r="C10" s="153"/>
      <c r="D10" s="153"/>
      <c r="E10" s="153"/>
      <c r="F10" s="358"/>
    </row>
    <row r="11" spans="1:6" ht="15.4" thickBot="1" x14ac:dyDescent="0.45">
      <c r="A11" s="493" t="s">
        <v>14</v>
      </c>
      <c r="B11" s="494"/>
      <c r="C11" s="494"/>
      <c r="D11" s="494"/>
      <c r="E11" s="494"/>
      <c r="F11" s="495"/>
    </row>
    <row r="12" spans="1:6" x14ac:dyDescent="0.4">
      <c r="A12" s="490"/>
      <c r="B12" s="490"/>
      <c r="C12" s="490"/>
      <c r="D12" s="490"/>
      <c r="E12" s="153"/>
      <c r="F12" s="153"/>
    </row>
    <row r="13" spans="1:6" x14ac:dyDescent="0.4">
      <c r="A13" s="491" t="s">
        <v>133</v>
      </c>
      <c r="B13" s="492"/>
      <c r="C13" s="496" t="s">
        <v>229</v>
      </c>
      <c r="D13" s="498" t="s">
        <v>230</v>
      </c>
      <c r="E13" s="498" t="s">
        <v>232</v>
      </c>
      <c r="F13" s="498" t="s">
        <v>231</v>
      </c>
    </row>
    <row r="14" spans="1:6" x14ac:dyDescent="0.4">
      <c r="A14" s="361" t="s">
        <v>348</v>
      </c>
      <c r="B14" s="361" t="s">
        <v>401</v>
      </c>
      <c r="C14" s="497"/>
      <c r="D14" s="496"/>
      <c r="E14" s="496"/>
      <c r="F14" s="496"/>
    </row>
    <row r="15" spans="1:6" x14ac:dyDescent="0.4">
      <c r="A15" s="199" t="s">
        <v>379</v>
      </c>
      <c r="B15" s="200" t="s">
        <v>588</v>
      </c>
      <c r="C15" s="217" t="s">
        <v>587</v>
      </c>
      <c r="D15" s="219">
        <v>0.55000000000000004</v>
      </c>
      <c r="E15" s="220">
        <v>63000</v>
      </c>
      <c r="F15" s="362">
        <f>D15*E15</f>
        <v>34650</v>
      </c>
    </row>
    <row r="16" spans="1:6" x14ac:dyDescent="0.4">
      <c r="A16" s="499" t="s">
        <v>454</v>
      </c>
      <c r="B16" s="500"/>
      <c r="C16" s="500"/>
      <c r="D16" s="500"/>
      <c r="E16" s="501"/>
      <c r="F16" s="363">
        <f>SUM(F15:F15)</f>
        <v>34650</v>
      </c>
    </row>
    <row r="17" spans="1:6" ht="15.4" thickBot="1" x14ac:dyDescent="0.45">
      <c r="A17" s="153"/>
      <c r="B17" s="153"/>
      <c r="C17" s="153"/>
      <c r="D17" s="153"/>
      <c r="E17" s="153"/>
      <c r="F17" s="358"/>
    </row>
    <row r="18" spans="1:6" ht="15.4" thickBot="1" x14ac:dyDescent="0.45">
      <c r="A18" s="493" t="s">
        <v>15</v>
      </c>
      <c r="B18" s="494"/>
      <c r="C18" s="494"/>
      <c r="D18" s="494"/>
      <c r="E18" s="494"/>
      <c r="F18" s="495"/>
    </row>
    <row r="19" spans="1:6" x14ac:dyDescent="0.4">
      <c r="A19" s="490"/>
      <c r="B19" s="490"/>
      <c r="C19" s="490"/>
      <c r="D19" s="490"/>
      <c r="E19" s="153"/>
      <c r="F19" s="153"/>
    </row>
    <row r="20" spans="1:6" x14ac:dyDescent="0.4">
      <c r="A20" s="491" t="s">
        <v>133</v>
      </c>
      <c r="B20" s="492"/>
      <c r="C20" s="496" t="s">
        <v>229</v>
      </c>
      <c r="D20" s="498" t="s">
        <v>230</v>
      </c>
      <c r="E20" s="498" t="s">
        <v>232</v>
      </c>
      <c r="F20" s="498" t="s">
        <v>231</v>
      </c>
    </row>
    <row r="21" spans="1:6" x14ac:dyDescent="0.4">
      <c r="A21" s="361" t="s">
        <v>348</v>
      </c>
      <c r="B21" s="361" t="s">
        <v>401</v>
      </c>
      <c r="C21" s="497"/>
      <c r="D21" s="496"/>
      <c r="E21" s="496"/>
      <c r="F21" s="496"/>
    </row>
    <row r="22" spans="1:6" x14ac:dyDescent="0.4">
      <c r="A22" s="199" t="s">
        <v>379</v>
      </c>
      <c r="B22" s="200" t="s">
        <v>588</v>
      </c>
      <c r="C22" s="217" t="s">
        <v>587</v>
      </c>
      <c r="D22" s="219">
        <v>0.65</v>
      </c>
      <c r="E22" s="220">
        <v>68000</v>
      </c>
      <c r="F22" s="362">
        <f>D22*E22</f>
        <v>44200</v>
      </c>
    </row>
    <row r="23" spans="1:6" x14ac:dyDescent="0.4">
      <c r="A23" s="499" t="s">
        <v>454</v>
      </c>
      <c r="B23" s="500"/>
      <c r="C23" s="500"/>
      <c r="D23" s="500"/>
      <c r="E23" s="501"/>
      <c r="F23" s="363">
        <f>SUM(F22:F22)</f>
        <v>44200</v>
      </c>
    </row>
    <row r="24" spans="1:6" ht="15.4" thickBot="1" x14ac:dyDescent="0.45">
      <c r="A24" s="153"/>
      <c r="B24" s="153"/>
      <c r="C24" s="153"/>
      <c r="D24" s="153"/>
      <c r="E24" s="153"/>
      <c r="F24" s="358"/>
    </row>
    <row r="25" spans="1:6" ht="15.4" thickBot="1" x14ac:dyDescent="0.45">
      <c r="A25" s="493" t="s">
        <v>16</v>
      </c>
      <c r="B25" s="494"/>
      <c r="C25" s="494"/>
      <c r="D25" s="494"/>
      <c r="E25" s="494"/>
      <c r="F25" s="495"/>
    </row>
    <row r="26" spans="1:6" x14ac:dyDescent="0.4">
      <c r="A26" s="490"/>
      <c r="B26" s="490"/>
      <c r="C26" s="490"/>
      <c r="D26" s="490"/>
      <c r="E26" s="153"/>
      <c r="F26" s="153"/>
    </row>
    <row r="27" spans="1:6" x14ac:dyDescent="0.4">
      <c r="A27" s="491" t="s">
        <v>133</v>
      </c>
      <c r="B27" s="492"/>
      <c r="C27" s="496" t="s">
        <v>229</v>
      </c>
      <c r="D27" s="498" t="s">
        <v>230</v>
      </c>
      <c r="E27" s="498" t="s">
        <v>232</v>
      </c>
      <c r="F27" s="498" t="s">
        <v>231</v>
      </c>
    </row>
    <row r="28" spans="1:6" x14ac:dyDescent="0.4">
      <c r="A28" s="361" t="s">
        <v>348</v>
      </c>
      <c r="B28" s="361" t="s">
        <v>401</v>
      </c>
      <c r="C28" s="497"/>
      <c r="D28" s="496"/>
      <c r="E28" s="496"/>
      <c r="F28" s="496"/>
    </row>
    <row r="29" spans="1:6" x14ac:dyDescent="0.4">
      <c r="A29" s="199" t="s">
        <v>379</v>
      </c>
      <c r="B29" s="200" t="s">
        <v>588</v>
      </c>
      <c r="C29" s="217" t="s">
        <v>587</v>
      </c>
      <c r="D29" s="219">
        <v>0.7</v>
      </c>
      <c r="E29" s="220">
        <v>72000</v>
      </c>
      <c r="F29" s="362">
        <f>D29*E29</f>
        <v>50400</v>
      </c>
    </row>
    <row r="30" spans="1:6" x14ac:dyDescent="0.4">
      <c r="A30" s="499" t="s">
        <v>454</v>
      </c>
      <c r="B30" s="500"/>
      <c r="C30" s="500"/>
      <c r="D30" s="500"/>
      <c r="E30" s="501"/>
      <c r="F30" s="363">
        <f>SUM(F29:F29)</f>
        <v>50400</v>
      </c>
    </row>
    <row r="31" spans="1:6" ht="15.4" thickBot="1" x14ac:dyDescent="0.45">
      <c r="A31" s="153"/>
      <c r="B31" s="153"/>
      <c r="C31" s="153"/>
      <c r="D31" s="153"/>
      <c r="E31" s="153"/>
      <c r="F31" s="358"/>
    </row>
    <row r="32" spans="1:6" ht="15.4" thickBot="1" x14ac:dyDescent="0.45">
      <c r="A32" s="493" t="s">
        <v>17</v>
      </c>
      <c r="B32" s="494"/>
      <c r="C32" s="494"/>
      <c r="D32" s="494"/>
      <c r="E32" s="494"/>
      <c r="F32" s="495"/>
    </row>
    <row r="33" spans="1:6" x14ac:dyDescent="0.4">
      <c r="A33" s="490"/>
      <c r="B33" s="490"/>
      <c r="C33" s="490"/>
      <c r="D33" s="490"/>
      <c r="E33" s="153"/>
      <c r="F33" s="153"/>
    </row>
    <row r="34" spans="1:6" x14ac:dyDescent="0.4">
      <c r="A34" s="491" t="s">
        <v>133</v>
      </c>
      <c r="B34" s="492"/>
      <c r="C34" s="496" t="s">
        <v>229</v>
      </c>
      <c r="D34" s="498" t="s">
        <v>230</v>
      </c>
      <c r="E34" s="498" t="s">
        <v>232</v>
      </c>
      <c r="F34" s="498" t="s">
        <v>231</v>
      </c>
    </row>
    <row r="35" spans="1:6" x14ac:dyDescent="0.4">
      <c r="A35" s="361" t="s">
        <v>348</v>
      </c>
      <c r="B35" s="361" t="s">
        <v>401</v>
      </c>
      <c r="C35" s="497"/>
      <c r="D35" s="496"/>
      <c r="E35" s="496"/>
      <c r="F35" s="496"/>
    </row>
    <row r="36" spans="1:6" x14ac:dyDescent="0.4">
      <c r="A36" s="199" t="s">
        <v>379</v>
      </c>
      <c r="B36" s="200" t="s">
        <v>588</v>
      </c>
      <c r="C36" s="217" t="s">
        <v>587</v>
      </c>
      <c r="D36" s="219">
        <v>0.75</v>
      </c>
      <c r="E36" s="220">
        <v>78000</v>
      </c>
      <c r="F36" s="362">
        <f>D36*E36</f>
        <v>58500</v>
      </c>
    </row>
    <row r="37" spans="1:6" x14ac:dyDescent="0.4">
      <c r="A37" s="499" t="s">
        <v>454</v>
      </c>
      <c r="B37" s="500"/>
      <c r="C37" s="500"/>
      <c r="D37" s="500"/>
      <c r="E37" s="501"/>
      <c r="F37" s="363">
        <f>SUM(F36:F36)</f>
        <v>58500</v>
      </c>
    </row>
  </sheetData>
  <mergeCells count="47">
    <mergeCell ref="A37:E37"/>
    <mergeCell ref="A30:E30"/>
    <mergeCell ref="A32:F32"/>
    <mergeCell ref="A33:B33"/>
    <mergeCell ref="C33:D33"/>
    <mergeCell ref="A34:B34"/>
    <mergeCell ref="C34:C35"/>
    <mergeCell ref="D34:D35"/>
    <mergeCell ref="E34:E35"/>
    <mergeCell ref="F34:F35"/>
    <mergeCell ref="A2:F2"/>
    <mergeCell ref="A27:B27"/>
    <mergeCell ref="A26:B26"/>
    <mergeCell ref="C26:D26"/>
    <mergeCell ref="A25:F25"/>
    <mergeCell ref="C27:C28"/>
    <mergeCell ref="D27:D28"/>
    <mergeCell ref="E27:E28"/>
    <mergeCell ref="F27:F28"/>
    <mergeCell ref="A23:E23"/>
    <mergeCell ref="A16:E16"/>
    <mergeCell ref="A18:F18"/>
    <mergeCell ref="A19:B19"/>
    <mergeCell ref="C19:D19"/>
    <mergeCell ref="A20:B20"/>
    <mergeCell ref="A4:F4"/>
    <mergeCell ref="C20:C21"/>
    <mergeCell ref="D20:D21"/>
    <mergeCell ref="E20:E21"/>
    <mergeCell ref="F20:F21"/>
    <mergeCell ref="C13:C14"/>
    <mergeCell ref="D13:D14"/>
    <mergeCell ref="E13:E14"/>
    <mergeCell ref="F13:F14"/>
    <mergeCell ref="A12:B12"/>
    <mergeCell ref="C12:D12"/>
    <mergeCell ref="A13:B13"/>
    <mergeCell ref="A11:F11"/>
    <mergeCell ref="A3:B3"/>
    <mergeCell ref="C3:D3"/>
    <mergeCell ref="A9:E9"/>
    <mergeCell ref="A5:B5"/>
    <mergeCell ref="A6:B6"/>
    <mergeCell ref="C6:C7"/>
    <mergeCell ref="D6:D7"/>
    <mergeCell ref="E6:E7"/>
    <mergeCell ref="F6:F7"/>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sheetPr>
  <dimension ref="A1:F14"/>
  <sheetViews>
    <sheetView zoomScaleNormal="100" workbookViewId="0">
      <selection activeCell="B14" sqref="B14:F14"/>
    </sheetView>
  </sheetViews>
  <sheetFormatPr baseColWidth="10" defaultRowHeight="15" x14ac:dyDescent="0.4"/>
  <cols>
    <col min="1" max="1" width="29.25" style="4" customWidth="1"/>
    <col min="2" max="6" width="15.5" style="104" customWidth="1"/>
    <col min="7" max="16384" width="11" style="4"/>
  </cols>
  <sheetData>
    <row r="1" spans="1:6" ht="15.4" thickBot="1" x14ac:dyDescent="0.45"/>
    <row r="2" spans="1:6" ht="24" customHeight="1" thickBot="1" x14ac:dyDescent="0.45">
      <c r="A2" s="468" t="s">
        <v>192</v>
      </c>
      <c r="B2" s="471"/>
      <c r="C2" s="471"/>
      <c r="D2" s="471"/>
      <c r="E2" s="471"/>
      <c r="F2" s="469"/>
    </row>
    <row r="4" spans="1:6" x14ac:dyDescent="0.4">
      <c r="A4" s="486" t="s">
        <v>91</v>
      </c>
      <c r="B4" s="505" t="s">
        <v>97</v>
      </c>
      <c r="C4" s="505"/>
      <c r="D4" s="505"/>
      <c r="E4" s="505"/>
      <c r="F4" s="505"/>
    </row>
    <row r="5" spans="1:6" x14ac:dyDescent="0.4">
      <c r="A5" s="486"/>
      <c r="B5" s="127">
        <v>1</v>
      </c>
      <c r="C5" s="127">
        <v>2</v>
      </c>
      <c r="D5" s="127">
        <v>3</v>
      </c>
      <c r="E5" s="127">
        <v>4</v>
      </c>
      <c r="F5" s="127">
        <v>5</v>
      </c>
    </row>
    <row r="6" spans="1:6" x14ac:dyDescent="0.4">
      <c r="A6" s="128" t="s">
        <v>192</v>
      </c>
      <c r="B6" s="506"/>
      <c r="C6" s="507"/>
      <c r="D6" s="507"/>
      <c r="E6" s="507"/>
      <c r="F6" s="508"/>
    </row>
    <row r="7" spans="1:6" x14ac:dyDescent="0.4">
      <c r="A7" s="128" t="s">
        <v>455</v>
      </c>
      <c r="B7" s="33"/>
      <c r="C7" s="33"/>
      <c r="D7" s="33"/>
      <c r="E7" s="33"/>
      <c r="F7" s="33"/>
    </row>
    <row r="8" spans="1:6" x14ac:dyDescent="0.4">
      <c r="A8" s="32" t="s">
        <v>80</v>
      </c>
      <c r="B8" s="31">
        <f>'GASTOS OPER-NO OPER'!B6</f>
        <v>67643.8</v>
      </c>
      <c r="C8" s="31">
        <f>'GASTOS OPER-NO OPER'!C6</f>
        <v>73926.628840000019</v>
      </c>
      <c r="D8" s="31">
        <f>'GASTOS OPER-NO OPER'!D6</f>
        <v>74059.696771912</v>
      </c>
      <c r="E8" s="31">
        <f>'GASTOS OPER-NO OPER'!E6</f>
        <v>74193.004226101461</v>
      </c>
      <c r="F8" s="31">
        <f>'GASTOS OPER-NO OPER'!F6</f>
        <v>74326.551633708441</v>
      </c>
    </row>
    <row r="9" spans="1:6" x14ac:dyDescent="0.4">
      <c r="A9" s="32" t="s">
        <v>95</v>
      </c>
      <c r="B9" s="31">
        <f>'GASTOS OPER-NO OPER'!B7</f>
        <v>20076</v>
      </c>
      <c r="C9" s="31">
        <f>'GASTOS OPER-NO OPER'!C7</f>
        <v>20076</v>
      </c>
      <c r="D9" s="31">
        <f>'GASTOS OPER-NO OPER'!D7</f>
        <v>20076</v>
      </c>
      <c r="E9" s="31">
        <f>'GASTOS OPER-NO OPER'!E7</f>
        <v>20104.482940000002</v>
      </c>
      <c r="F9" s="31">
        <f>'GASTOS OPER-NO OPER'!F7</f>
        <v>20104.482940000002</v>
      </c>
    </row>
    <row r="10" spans="1:6" x14ac:dyDescent="0.4">
      <c r="A10" s="32" t="s">
        <v>94</v>
      </c>
      <c r="B10" s="31">
        <f>'GASTOS OPER-NO OPER'!B8</f>
        <v>1400</v>
      </c>
      <c r="C10" s="31">
        <f>'GASTOS OPER-NO OPER'!C8</f>
        <v>1400</v>
      </c>
      <c r="D10" s="31">
        <f>'GASTOS OPER-NO OPER'!D8</f>
        <v>1400</v>
      </c>
      <c r="E10" s="31">
        <f>'GASTOS OPER-NO OPER'!E8</f>
        <v>1400</v>
      </c>
      <c r="F10" s="31">
        <f>'GASTOS OPER-NO OPER'!F8</f>
        <v>1400</v>
      </c>
    </row>
    <row r="11" spans="1:6" x14ac:dyDescent="0.4">
      <c r="A11" s="128" t="s">
        <v>202</v>
      </c>
      <c r="B11" s="33"/>
      <c r="C11" s="33"/>
      <c r="D11" s="33"/>
      <c r="E11" s="33"/>
      <c r="F11" s="33"/>
    </row>
    <row r="12" spans="1:6" x14ac:dyDescent="0.4">
      <c r="A12" s="32" t="s">
        <v>68</v>
      </c>
      <c r="B12" s="31">
        <f>'GASTOS OPER-NO OPER'!B10</f>
        <v>60</v>
      </c>
      <c r="C12" s="31">
        <f>'GASTOS OPER-NO OPER'!C10</f>
        <v>60.107999999999997</v>
      </c>
      <c r="D12" s="31">
        <f>'GASTOS OPER-NO OPER'!D10</f>
        <v>60.216194399999999</v>
      </c>
      <c r="E12" s="31">
        <f>'GASTOS OPER-NO OPER'!E10</f>
        <v>60.32458354992</v>
      </c>
      <c r="F12" s="31">
        <f>'GASTOS OPER-NO OPER'!F10</f>
        <v>60.433167800309853</v>
      </c>
    </row>
    <row r="13" spans="1:6" ht="15.4" thickBot="1" x14ac:dyDescent="0.45">
      <c r="A13" s="238" t="s">
        <v>99</v>
      </c>
      <c r="B13" s="239">
        <f>'GASTOS OPER-NO OPER'!B11</f>
        <v>3382.1900000000005</v>
      </c>
      <c r="C13" s="239">
        <f>'GASTOS OPER-NO OPER'!C11</f>
        <v>3388.2779420000006</v>
      </c>
      <c r="D13" s="239">
        <f>'GASTOS OPER-NO OPER'!D11</f>
        <v>3394.3768422956005</v>
      </c>
      <c r="E13" s="239">
        <f>'GASTOS OPER-NO OPER'!E11</f>
        <v>3400.4867206117324</v>
      </c>
      <c r="F13" s="239">
        <f>'GASTOS OPER-NO OPER'!F11</f>
        <v>3406.6075967088336</v>
      </c>
    </row>
    <row r="14" spans="1:6" ht="15.4" thickBot="1" x14ac:dyDescent="0.45">
      <c r="A14" s="240" t="s">
        <v>456</v>
      </c>
      <c r="B14" s="241">
        <f>SUM(B8:B10,B12:B13)</f>
        <v>92561.99</v>
      </c>
      <c r="C14" s="241">
        <f>SUM(C8:C10,C12:C13)</f>
        <v>98851.014782000013</v>
      </c>
      <c r="D14" s="241">
        <f>SUM(D8:D10,D12:D13)</f>
        <v>98990.289808607602</v>
      </c>
      <c r="E14" s="241">
        <f>SUM(E8:E10,E12:E13)</f>
        <v>99158.298470263122</v>
      </c>
      <c r="F14" s="241">
        <f>SUM(F8:F10,F12:F13)</f>
        <v>99298.07533821759</v>
      </c>
    </row>
  </sheetData>
  <mergeCells count="4">
    <mergeCell ref="A4:A5"/>
    <mergeCell ref="B4:F4"/>
    <mergeCell ref="B6:F6"/>
    <mergeCell ref="A2:F2"/>
  </mergeCells>
  <pageMargins left="0.25" right="0.25"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sheetPr>
  <dimension ref="A2:D11"/>
  <sheetViews>
    <sheetView topLeftCell="A2" zoomScaleNormal="100" workbookViewId="0">
      <selection activeCell="C10" sqref="C10"/>
    </sheetView>
  </sheetViews>
  <sheetFormatPr baseColWidth="10" defaultRowHeight="15" x14ac:dyDescent="0.4"/>
  <cols>
    <col min="1" max="1" width="27.625" style="1" customWidth="1"/>
    <col min="2" max="2" width="15.25" style="1" customWidth="1"/>
    <col min="3" max="3" width="22.625" style="1" customWidth="1"/>
    <col min="4" max="4" width="27.5" style="1" customWidth="1"/>
    <col min="5" max="16384" width="11" style="1"/>
  </cols>
  <sheetData>
    <row r="2" spans="1:4" ht="15.4" thickBot="1" x14ac:dyDescent="0.45">
      <c r="B2" s="435"/>
      <c r="C2" s="435"/>
    </row>
    <row r="3" spans="1:4" ht="24" customHeight="1" thickBot="1" x14ac:dyDescent="0.45">
      <c r="A3" s="510" t="s">
        <v>203</v>
      </c>
      <c r="B3" s="511"/>
      <c r="C3" s="511"/>
      <c r="D3" s="512"/>
    </row>
    <row r="5" spans="1:4" x14ac:dyDescent="0.4">
      <c r="A5" s="509" t="s">
        <v>457</v>
      </c>
      <c r="B5" s="509" t="s">
        <v>462</v>
      </c>
      <c r="C5" s="509"/>
      <c r="D5" s="509"/>
    </row>
    <row r="6" spans="1:4" x14ac:dyDescent="0.4">
      <c r="A6" s="509"/>
      <c r="B6" s="21" t="s">
        <v>463</v>
      </c>
      <c r="C6" s="21" t="s">
        <v>464</v>
      </c>
      <c r="D6" s="21" t="s">
        <v>465</v>
      </c>
    </row>
    <row r="7" spans="1:4" x14ac:dyDescent="0.4">
      <c r="A7" s="25" t="s">
        <v>295</v>
      </c>
      <c r="B7" s="24">
        <f>ACTIVOS!D43</f>
        <v>184180</v>
      </c>
      <c r="C7" s="24">
        <f>B7*10%</f>
        <v>18418</v>
      </c>
      <c r="D7" s="24">
        <f>B7*90%</f>
        <v>165762</v>
      </c>
    </row>
    <row r="8" spans="1:4" ht="30" x14ac:dyDescent="0.4">
      <c r="A8" s="242" t="s">
        <v>458</v>
      </c>
      <c r="B8" s="24">
        <f>AMORTIZACIONES!B12</f>
        <v>7000</v>
      </c>
      <c r="C8" s="24">
        <f>B8*10%</f>
        <v>700</v>
      </c>
      <c r="D8" s="24">
        <f>B8*90%</f>
        <v>6300</v>
      </c>
    </row>
    <row r="9" spans="1:4" x14ac:dyDescent="0.4">
      <c r="A9" s="242" t="s">
        <v>459</v>
      </c>
      <c r="B9" s="24">
        <f>'CAPITAL DE TRABAJO '!C9</f>
        <v>17771.497500000001</v>
      </c>
      <c r="C9" s="24">
        <f>B9*10%</f>
        <v>1777.1497500000003</v>
      </c>
      <c r="D9" s="24">
        <f>B9*90%</f>
        <v>15994.347750000001</v>
      </c>
    </row>
    <row r="10" spans="1:4" x14ac:dyDescent="0.4">
      <c r="A10" s="26" t="s">
        <v>460</v>
      </c>
      <c r="B10" s="27">
        <f>SUM(B7:B9)</f>
        <v>208951.4975</v>
      </c>
      <c r="C10" s="27">
        <f t="shared" ref="C10:D10" si="0">SUM(C7:C9)</f>
        <v>20895.14975</v>
      </c>
      <c r="D10" s="27">
        <f t="shared" si="0"/>
        <v>188056.34775000002</v>
      </c>
    </row>
    <row r="11" spans="1:4" x14ac:dyDescent="0.4">
      <c r="A11" s="25" t="s">
        <v>461</v>
      </c>
      <c r="B11" s="131">
        <v>1</v>
      </c>
      <c r="C11" s="131">
        <v>0.1</v>
      </c>
      <c r="D11" s="131">
        <v>0.9</v>
      </c>
    </row>
  </sheetData>
  <mergeCells count="4">
    <mergeCell ref="B5:D5"/>
    <mergeCell ref="A5:A6"/>
    <mergeCell ref="A3:D3"/>
    <mergeCell ref="B2:C2"/>
  </mergeCells>
  <pageMargins left="0.7" right="0.7" top="0.75" bottom="0.75" header="0.3" footer="0.3"/>
  <pageSetup paperSize="9" orientation="portrait" r:id="rId1"/>
  <ignoredErrors>
    <ignoredError sqref="D8" 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sheetPr>
  <dimension ref="A2:C9"/>
  <sheetViews>
    <sheetView zoomScaleNormal="100" workbookViewId="0">
      <selection activeCell="B7" sqref="B7"/>
    </sheetView>
  </sheetViews>
  <sheetFormatPr baseColWidth="10" defaultRowHeight="15" x14ac:dyDescent="0.4"/>
  <cols>
    <col min="1" max="1" width="22.5" style="132" customWidth="1"/>
    <col min="2" max="2" width="20.25" style="132" customWidth="1"/>
    <col min="3" max="3" width="18.625" style="132" customWidth="1"/>
    <col min="4" max="16384" width="11" style="132"/>
  </cols>
  <sheetData>
    <row r="2" spans="1:3" ht="15.4" thickBot="1" x14ac:dyDescent="0.45"/>
    <row r="3" spans="1:3" ht="24" customHeight="1" thickBot="1" x14ac:dyDescent="0.45">
      <c r="A3" s="510" t="s">
        <v>193</v>
      </c>
      <c r="B3" s="514"/>
      <c r="C3" s="515"/>
    </row>
    <row r="5" spans="1:3" ht="15.4" thickBot="1" x14ac:dyDescent="0.45">
      <c r="A5" s="513"/>
      <c r="B5" s="513"/>
      <c r="C5" s="513"/>
    </row>
    <row r="6" spans="1:3" ht="30.4" thickBot="1" x14ac:dyDescent="0.45">
      <c r="A6" s="247" t="s">
        <v>133</v>
      </c>
      <c r="B6" s="248" t="s">
        <v>466</v>
      </c>
      <c r="C6" s="249" t="s">
        <v>467</v>
      </c>
    </row>
    <row r="7" spans="1:3" x14ac:dyDescent="0.4">
      <c r="A7" s="250" t="s">
        <v>468</v>
      </c>
      <c r="B7" s="246">
        <f>'FUENTES Y USO FONDOS EN DÓLARES'!C10</f>
        <v>20895.14975</v>
      </c>
      <c r="C7" s="251">
        <f>+B7/B9</f>
        <v>9.9999999999999992E-2</v>
      </c>
    </row>
    <row r="8" spans="1:3" ht="15.4" thickBot="1" x14ac:dyDescent="0.45">
      <c r="A8" s="252" t="s">
        <v>469</v>
      </c>
      <c r="B8" s="253">
        <f>'FUENTES Y USO FONDOS EN DÓLARES'!D10</f>
        <v>188056.34775000002</v>
      </c>
      <c r="C8" s="254">
        <f>+B8/B9</f>
        <v>0.89999999999999991</v>
      </c>
    </row>
    <row r="9" spans="1:3" ht="15.4" thickBot="1" x14ac:dyDescent="0.45">
      <c r="A9" s="243" t="s">
        <v>101</v>
      </c>
      <c r="B9" s="244">
        <f>SUM(B7:B8)</f>
        <v>208951.49750000003</v>
      </c>
      <c r="C9" s="245">
        <f>SUM(C7:C8)</f>
        <v>0.99999999999999989</v>
      </c>
    </row>
  </sheetData>
  <mergeCells count="2">
    <mergeCell ref="A5:C5"/>
    <mergeCell ref="A3:C3"/>
  </mergeCells>
  <pageMargins left="0.25" right="0.25"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sheetPr>
  <dimension ref="A2:I30"/>
  <sheetViews>
    <sheetView zoomScaleNormal="100" workbookViewId="0">
      <selection activeCell="D7" sqref="D7"/>
    </sheetView>
  </sheetViews>
  <sheetFormatPr baseColWidth="10" defaultRowHeight="15" x14ac:dyDescent="0.4"/>
  <cols>
    <col min="1" max="1" width="5.625" style="2" customWidth="1"/>
    <col min="2" max="5" width="13.875" style="1" customWidth="1"/>
    <col min="6" max="6" width="17.625" style="1" customWidth="1"/>
    <col min="7" max="7" width="15.5" style="1" customWidth="1"/>
    <col min="8" max="8" width="11" style="1"/>
    <col min="9" max="9" width="24.375" style="1" customWidth="1"/>
    <col min="10" max="16384" width="11" style="1"/>
  </cols>
  <sheetData>
    <row r="2" spans="1:9" ht="15.4" thickBot="1" x14ac:dyDescent="0.45">
      <c r="F2" s="435"/>
      <c r="G2" s="435"/>
    </row>
    <row r="3" spans="1:9" ht="27.75" customHeight="1" thickBot="1" x14ac:dyDescent="0.45">
      <c r="A3" s="510" t="s">
        <v>194</v>
      </c>
      <c r="B3" s="514"/>
      <c r="C3" s="514"/>
      <c r="D3" s="514"/>
      <c r="E3" s="514"/>
      <c r="F3" s="514"/>
      <c r="G3" s="515"/>
      <c r="H3" s="173"/>
      <c r="I3" s="173"/>
    </row>
    <row r="6" spans="1:9" ht="30" x14ac:dyDescent="0.4">
      <c r="A6" s="130" t="s">
        <v>178</v>
      </c>
      <c r="B6" s="130" t="s">
        <v>110</v>
      </c>
      <c r="C6" s="130" t="s">
        <v>109</v>
      </c>
      <c r="D6" s="130" t="s">
        <v>108</v>
      </c>
      <c r="E6" s="130" t="s">
        <v>107</v>
      </c>
      <c r="F6" s="130" t="s">
        <v>106</v>
      </c>
      <c r="G6" s="130" t="s">
        <v>105</v>
      </c>
      <c r="H6" s="89"/>
      <c r="I6" s="139" t="s">
        <v>470</v>
      </c>
    </row>
    <row r="7" spans="1:9" x14ac:dyDescent="0.4">
      <c r="A7" s="133">
        <v>1</v>
      </c>
      <c r="B7" s="24">
        <f>'ESTRUCTURA FINANCIERA'!B8</f>
        <v>188056.34775000002</v>
      </c>
      <c r="C7" s="24">
        <f>B7*$E$15</f>
        <v>19651.888339875</v>
      </c>
      <c r="D7" s="24">
        <f>$B$7*((($E$15*(1+$E$15)^$A$11)))/(((1+$E$15)^$A$11)-1)</f>
        <v>50180.37952467172</v>
      </c>
      <c r="E7" s="24">
        <f>D7-C7</f>
        <v>30528.49118479672</v>
      </c>
      <c r="F7" s="24">
        <f>B7-E7</f>
        <v>157527.85656520328</v>
      </c>
      <c r="G7" s="134" t="s">
        <v>104</v>
      </c>
      <c r="I7" s="135"/>
    </row>
    <row r="8" spans="1:9" x14ac:dyDescent="0.4">
      <c r="A8" s="133">
        <v>2</v>
      </c>
      <c r="B8" s="24">
        <f>F7</f>
        <v>157527.85656520328</v>
      </c>
      <c r="C8" s="24">
        <f>B8*$E$15</f>
        <v>16461.661011063741</v>
      </c>
      <c r="D8" s="24">
        <f>$B$7*((($E$15*(1+$E$15)^$A$11)))/(((1+$E$15)^$A$11)-1)</f>
        <v>50180.37952467172</v>
      </c>
      <c r="E8" s="24">
        <f>D8-C8</f>
        <v>33718.718513607979</v>
      </c>
      <c r="F8" s="24">
        <f>B8-E8</f>
        <v>123809.13805159531</v>
      </c>
      <c r="G8" s="134" t="s">
        <v>104</v>
      </c>
      <c r="I8" s="136"/>
    </row>
    <row r="9" spans="1:9" x14ac:dyDescent="0.4">
      <c r="A9" s="133">
        <v>3</v>
      </c>
      <c r="B9" s="24">
        <f>F8</f>
        <v>123809.13805159531</v>
      </c>
      <c r="C9" s="24">
        <f>B9*$E$15</f>
        <v>12938.054926391709</v>
      </c>
      <c r="D9" s="24">
        <f>$B$7*((($E$15*(1+$E$15)^$A$11)))/(((1+$E$15)^$A$11)-1)</f>
        <v>50180.37952467172</v>
      </c>
      <c r="E9" s="24">
        <f>D9-C9</f>
        <v>37242.324598280014</v>
      </c>
      <c r="F9" s="24">
        <f t="shared" ref="F9:F11" si="0">B9-E9</f>
        <v>86566.813453315292</v>
      </c>
      <c r="G9" s="134" t="s">
        <v>104</v>
      </c>
      <c r="I9" s="136" t="s">
        <v>244</v>
      </c>
    </row>
    <row r="10" spans="1:9" x14ac:dyDescent="0.4">
      <c r="A10" s="133">
        <v>4</v>
      </c>
      <c r="B10" s="24">
        <f>F9</f>
        <v>86566.813453315292</v>
      </c>
      <c r="C10" s="24">
        <f>B10*$E$15</f>
        <v>9046.2320058714467</v>
      </c>
      <c r="D10" s="24">
        <f>$B$7*((($E$15*(1+$E$15)^$A$11)))/(((1+$E$15)^$A$11)-1)</f>
        <v>50180.37952467172</v>
      </c>
      <c r="E10" s="24">
        <f>D10-C10</f>
        <v>41134.147518800273</v>
      </c>
      <c r="F10" s="24">
        <f t="shared" si="0"/>
        <v>45432.665934515018</v>
      </c>
      <c r="G10" s="134" t="s">
        <v>104</v>
      </c>
      <c r="I10" s="136" t="s">
        <v>245</v>
      </c>
    </row>
    <row r="11" spans="1:9" x14ac:dyDescent="0.4">
      <c r="A11" s="133">
        <v>5</v>
      </c>
      <c r="B11" s="24">
        <f>F10</f>
        <v>45432.665934515018</v>
      </c>
      <c r="C11" s="24">
        <f>B11*$E$15</f>
        <v>4747.713590156819</v>
      </c>
      <c r="D11" s="24">
        <f>$B$7*((($E$15*(1+$E$15)^$A$11)))/(((1+$E$15)^$A$11)-1)</f>
        <v>50180.37952467172</v>
      </c>
      <c r="E11" s="24">
        <f>D11-C11</f>
        <v>45432.665934514902</v>
      </c>
      <c r="F11" s="24">
        <f t="shared" si="0"/>
        <v>1.1641532182693481E-10</v>
      </c>
      <c r="G11" s="134" t="s">
        <v>104</v>
      </c>
      <c r="I11" s="136" t="s">
        <v>246</v>
      </c>
    </row>
    <row r="12" spans="1:9" x14ac:dyDescent="0.4">
      <c r="A12" s="519" t="s">
        <v>103</v>
      </c>
      <c r="B12" s="520"/>
      <c r="C12" s="27">
        <f>SUM(C7:C11)</f>
        <v>62845.549873358716</v>
      </c>
      <c r="D12" s="27">
        <f>SUM(D7:D11)</f>
        <v>250901.89762335859</v>
      </c>
      <c r="E12" s="27">
        <f>SUM(E7:E11)</f>
        <v>188056.34774999987</v>
      </c>
      <c r="F12" s="516"/>
      <c r="G12" s="517"/>
      <c r="I12" s="137"/>
    </row>
    <row r="14" spans="1:9" x14ac:dyDescent="0.4">
      <c r="F14" s="138"/>
    </row>
    <row r="15" spans="1:9" x14ac:dyDescent="0.4">
      <c r="B15" s="521" t="s">
        <v>243</v>
      </c>
      <c r="C15" s="521"/>
      <c r="D15" s="521"/>
      <c r="E15" s="255">
        <v>0.1045</v>
      </c>
    </row>
    <row r="16" spans="1:9" x14ac:dyDescent="0.4">
      <c r="A16" s="140"/>
      <c r="B16" s="93"/>
      <c r="C16" s="93"/>
      <c r="D16" s="93"/>
      <c r="E16" s="256"/>
    </row>
    <row r="17" spans="1:7" ht="15.75" customHeight="1" x14ac:dyDescent="0.4">
      <c r="B17" s="518" t="s">
        <v>256</v>
      </c>
      <c r="C17" s="518"/>
      <c r="D17" s="518"/>
      <c r="E17" s="518"/>
      <c r="F17" s="518"/>
      <c r="G17" s="518"/>
    </row>
    <row r="18" spans="1:7" x14ac:dyDescent="0.4">
      <c r="B18" s="518"/>
      <c r="C18" s="518"/>
      <c r="D18" s="518"/>
      <c r="E18" s="518"/>
      <c r="F18" s="518"/>
      <c r="G18" s="518"/>
    </row>
    <row r="20" spans="1:7" x14ac:dyDescent="0.4">
      <c r="A20" s="1"/>
    </row>
    <row r="21" spans="1:7" x14ac:dyDescent="0.4">
      <c r="A21" s="1"/>
    </row>
    <row r="22" spans="1:7" x14ac:dyDescent="0.4">
      <c r="A22" s="1"/>
    </row>
    <row r="23" spans="1:7" x14ac:dyDescent="0.4">
      <c r="A23" s="1"/>
    </row>
    <row r="24" spans="1:7" x14ac:dyDescent="0.4">
      <c r="A24" s="1"/>
    </row>
    <row r="25" spans="1:7" x14ac:dyDescent="0.4">
      <c r="A25" s="1"/>
    </row>
    <row r="26" spans="1:7" x14ac:dyDescent="0.4">
      <c r="A26" s="1"/>
    </row>
    <row r="27" spans="1:7" x14ac:dyDescent="0.4">
      <c r="A27" s="1"/>
    </row>
    <row r="28" spans="1:7" x14ac:dyDescent="0.4">
      <c r="A28" s="1"/>
    </row>
    <row r="29" spans="1:7" ht="15.75" customHeight="1" x14ac:dyDescent="0.4">
      <c r="A29" s="1"/>
    </row>
    <row r="30" spans="1:7" x14ac:dyDescent="0.4">
      <c r="A30" s="1"/>
    </row>
  </sheetData>
  <mergeCells count="6">
    <mergeCell ref="F12:G12"/>
    <mergeCell ref="B17:G18"/>
    <mergeCell ref="F2:G2"/>
    <mergeCell ref="A12:B12"/>
    <mergeCell ref="B15:D15"/>
    <mergeCell ref="A3:G3"/>
  </mergeCells>
  <pageMargins left="0.7" right="0.7" top="0.75" bottom="0.75" header="0.3" footer="0.3"/>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sheetPr>
  <dimension ref="A2:E41"/>
  <sheetViews>
    <sheetView topLeftCell="A13" zoomScale="70" zoomScaleNormal="70" zoomScalePageLayoutView="80" workbookViewId="0">
      <selection activeCell="B23" sqref="B23"/>
    </sheetView>
  </sheetViews>
  <sheetFormatPr baseColWidth="10" defaultRowHeight="15" x14ac:dyDescent="0.4"/>
  <cols>
    <col min="1" max="1" width="46.875" style="1" customWidth="1"/>
    <col min="2" max="4" width="15.75" style="3" customWidth="1"/>
    <col min="5" max="16384" width="11" style="1"/>
  </cols>
  <sheetData>
    <row r="2" spans="1:5" x14ac:dyDescent="0.4">
      <c r="A2" s="435" t="s">
        <v>204</v>
      </c>
      <c r="B2" s="435"/>
      <c r="C2" s="435"/>
      <c r="D2" s="435"/>
      <c r="E2" s="435"/>
    </row>
    <row r="3" spans="1:5" ht="15.75" customHeight="1" x14ac:dyDescent="0.4">
      <c r="A3" s="435" t="s">
        <v>471</v>
      </c>
      <c r="B3" s="435"/>
      <c r="C3" s="435"/>
      <c r="D3" s="435"/>
      <c r="E3" s="435"/>
    </row>
    <row r="4" spans="1:5" x14ac:dyDescent="0.4">
      <c r="A4" s="522" t="s">
        <v>472</v>
      </c>
      <c r="B4" s="522"/>
      <c r="C4" s="522"/>
      <c r="D4" s="522"/>
      <c r="E4" s="522"/>
    </row>
    <row r="6" spans="1:5" x14ac:dyDescent="0.4">
      <c r="A6" s="141" t="s">
        <v>128</v>
      </c>
    </row>
    <row r="7" spans="1:5" x14ac:dyDescent="0.4">
      <c r="A7" s="141" t="s">
        <v>127</v>
      </c>
      <c r="B7" s="142"/>
      <c r="C7" s="142"/>
      <c r="D7" s="143">
        <f>C8</f>
        <v>17771.497500000001</v>
      </c>
    </row>
    <row r="8" spans="1:5" x14ac:dyDescent="0.4">
      <c r="A8" s="1" t="s">
        <v>100</v>
      </c>
      <c r="C8" s="144">
        <f>'FUENTES Y USO FONDOS EN DÓLARES'!B9</f>
        <v>17771.497500000001</v>
      </c>
    </row>
    <row r="10" spans="1:5" x14ac:dyDescent="0.4">
      <c r="A10" s="141" t="s">
        <v>116</v>
      </c>
      <c r="B10" s="142"/>
      <c r="C10" s="142"/>
      <c r="D10" s="143">
        <f>SUM(C11+C21)</f>
        <v>191180</v>
      </c>
    </row>
    <row r="11" spans="1:5" x14ac:dyDescent="0.4">
      <c r="A11" s="141" t="s">
        <v>126</v>
      </c>
      <c r="B11" s="142"/>
      <c r="C11" s="142">
        <f>SUM(B12:B19)</f>
        <v>184180</v>
      </c>
      <c r="D11" s="142"/>
    </row>
    <row r="12" spans="1:5" x14ac:dyDescent="0.4">
      <c r="A12" s="95" t="str">
        <f>ACTIVOS!A6</f>
        <v>Terreno</v>
      </c>
      <c r="B12" s="257">
        <f>ACTIVOS!D6</f>
        <v>30000</v>
      </c>
      <c r="C12" s="142"/>
      <c r="D12" s="142"/>
    </row>
    <row r="13" spans="1:5" x14ac:dyDescent="0.4">
      <c r="A13" s="95" t="str">
        <f>ACTIVOS!A7</f>
        <v>Edificio</v>
      </c>
      <c r="B13" s="257">
        <f>ACTIVOS!D7</f>
        <v>40000</v>
      </c>
      <c r="C13" s="142"/>
      <c r="D13" s="142"/>
    </row>
    <row r="14" spans="1:5" x14ac:dyDescent="0.4">
      <c r="A14" s="1" t="s">
        <v>125</v>
      </c>
      <c r="B14" s="3">
        <f>ACTIVOS!E12</f>
        <v>80000</v>
      </c>
    </row>
    <row r="15" spans="1:5" x14ac:dyDescent="0.4">
      <c r="A15" s="1" t="s">
        <v>124</v>
      </c>
      <c r="B15" s="3">
        <f>ACTIVOS!E16</f>
        <v>1400</v>
      </c>
    </row>
    <row r="16" spans="1:5" x14ac:dyDescent="0.4">
      <c r="A16" s="1" t="s">
        <v>123</v>
      </c>
      <c r="B16" s="3">
        <f>ACTIVOS!E21</f>
        <v>1150</v>
      </c>
    </row>
    <row r="17" spans="1:5" x14ac:dyDescent="0.4">
      <c r="A17" s="1" t="s">
        <v>247</v>
      </c>
      <c r="B17" s="3">
        <f>ACTIVOS!E27</f>
        <v>1150</v>
      </c>
    </row>
    <row r="18" spans="1:5" x14ac:dyDescent="0.4">
      <c r="A18" s="1" t="s">
        <v>122</v>
      </c>
      <c r="B18" s="145">
        <f>ACTIVOS!E32</f>
        <v>2820</v>
      </c>
    </row>
    <row r="19" spans="1:5" x14ac:dyDescent="0.4">
      <c r="A19" s="1" t="s">
        <v>248</v>
      </c>
      <c r="B19" s="145">
        <f>ACTIVOS!E42</f>
        <v>27660</v>
      </c>
    </row>
    <row r="21" spans="1:5" x14ac:dyDescent="0.4">
      <c r="A21" s="141" t="s">
        <v>121</v>
      </c>
      <c r="B21" s="142"/>
      <c r="C21" s="142">
        <f>SUM(B22:B26)</f>
        <v>7000</v>
      </c>
      <c r="D21" s="146"/>
      <c r="E21" s="95"/>
    </row>
    <row r="22" spans="1:5" x14ac:dyDescent="0.4">
      <c r="A22" s="1" t="str">
        <f>AMORTIZACIONES!A7</f>
        <v xml:space="preserve">Estudio de factibilidad </v>
      </c>
      <c r="B22" s="3">
        <f>GASTOS!C5</f>
        <v>4000</v>
      </c>
    </row>
    <row r="23" spans="1:5" x14ac:dyDescent="0.4">
      <c r="A23" s="1" t="str">
        <f>AMORTIZACIONES!A8</f>
        <v xml:space="preserve">Gastos de constitución </v>
      </c>
      <c r="B23" s="3">
        <f>GASTOS!C6</f>
        <v>500</v>
      </c>
    </row>
    <row r="24" spans="1:5" x14ac:dyDescent="0.4">
      <c r="A24" s="1" t="str">
        <f>AMORTIZACIONES!A9</f>
        <v xml:space="preserve">Patentes y marcas </v>
      </c>
      <c r="B24" s="3">
        <f>GASTOS!C7</f>
        <v>1000</v>
      </c>
    </row>
    <row r="25" spans="1:5" x14ac:dyDescent="0.4">
      <c r="A25" s="1" t="str">
        <f>AMORTIZACIONES!A10</f>
        <v>Gastos de instalación y puesta en marcha</v>
      </c>
      <c r="B25" s="3">
        <f>GASTOS!C8</f>
        <v>1000</v>
      </c>
    </row>
    <row r="26" spans="1:5" x14ac:dyDescent="0.4">
      <c r="A26" s="1" t="str">
        <f>AMORTIZACIONES!A11</f>
        <v>Sistema de Facturación y Contabilidad</v>
      </c>
      <c r="B26" s="3">
        <f>GASTOS!C9</f>
        <v>500</v>
      </c>
    </row>
    <row r="28" spans="1:5" ht="15.4" thickBot="1" x14ac:dyDescent="0.45">
      <c r="A28" s="141" t="s">
        <v>119</v>
      </c>
      <c r="B28" s="142"/>
      <c r="C28" s="142"/>
      <c r="D28" s="147">
        <f>SUM(D10+D7)</f>
        <v>208951.4975</v>
      </c>
      <c r="E28" s="148"/>
    </row>
    <row r="29" spans="1:5" ht="15.4" thickTop="1" x14ac:dyDescent="0.4">
      <c r="E29" s="95"/>
    </row>
    <row r="30" spans="1:5" x14ac:dyDescent="0.4">
      <c r="E30" s="95"/>
    </row>
    <row r="31" spans="1:5" x14ac:dyDescent="0.4">
      <c r="A31" s="141" t="s">
        <v>118</v>
      </c>
      <c r="B31" s="142"/>
      <c r="C31" s="142"/>
      <c r="D31" s="143">
        <f>C34</f>
        <v>188056.34775000002</v>
      </c>
      <c r="E31" s="95"/>
    </row>
    <row r="32" spans="1:5" x14ac:dyDescent="0.4">
      <c r="A32" s="141" t="s">
        <v>117</v>
      </c>
      <c r="E32" s="95"/>
    </row>
    <row r="33" spans="1:5" x14ac:dyDescent="0.4">
      <c r="E33" s="95"/>
    </row>
    <row r="34" spans="1:5" x14ac:dyDescent="0.4">
      <c r="A34" s="141" t="s">
        <v>116</v>
      </c>
      <c r="B34" s="142"/>
      <c r="C34" s="142">
        <f>B35</f>
        <v>188056.34775000002</v>
      </c>
      <c r="E34" s="95"/>
    </row>
    <row r="35" spans="1:5" x14ac:dyDescent="0.4">
      <c r="A35" s="1" t="s">
        <v>115</v>
      </c>
      <c r="B35" s="144">
        <f>'CUOTA FIJA '!B7</f>
        <v>188056.34775000002</v>
      </c>
      <c r="E35" s="95"/>
    </row>
    <row r="36" spans="1:5" x14ac:dyDescent="0.4">
      <c r="E36" s="95"/>
    </row>
    <row r="37" spans="1:5" x14ac:dyDescent="0.4">
      <c r="A37" s="141" t="s">
        <v>114</v>
      </c>
      <c r="B37" s="142"/>
      <c r="C37" s="142"/>
      <c r="D37" s="143">
        <f>D28-D31</f>
        <v>20895.149749999982</v>
      </c>
      <c r="E37" s="95"/>
    </row>
    <row r="38" spans="1:5" x14ac:dyDescent="0.4">
      <c r="A38" s="1" t="s">
        <v>113</v>
      </c>
      <c r="C38" s="3">
        <f>D37</f>
        <v>20895.149749999982</v>
      </c>
    </row>
    <row r="39" spans="1:5" x14ac:dyDescent="0.4">
      <c r="A39" s="1" t="s">
        <v>112</v>
      </c>
      <c r="B39" s="144">
        <f>C38</f>
        <v>20895.149749999982</v>
      </c>
      <c r="C39" s="145"/>
    </row>
    <row r="40" spans="1:5" ht="15.4" thickBot="1" x14ac:dyDescent="0.45">
      <c r="A40" s="141" t="s">
        <v>111</v>
      </c>
      <c r="B40" s="142"/>
      <c r="C40" s="142"/>
      <c r="D40" s="147">
        <f>D37+D31</f>
        <v>208951.4975</v>
      </c>
      <c r="E40" s="148"/>
    </row>
    <row r="41" spans="1:5" ht="15.4" thickTop="1" x14ac:dyDescent="0.4"/>
  </sheetData>
  <mergeCells count="3">
    <mergeCell ref="A2:E2"/>
    <mergeCell ref="A3:E3"/>
    <mergeCell ref="A4:E4"/>
  </mergeCells>
  <pageMargins left="0.25" right="0.25"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sheetPr>
  <dimension ref="A1:F7"/>
  <sheetViews>
    <sheetView zoomScaleNormal="100" workbookViewId="0">
      <selection activeCell="D15" sqref="D15"/>
    </sheetView>
  </sheetViews>
  <sheetFormatPr baseColWidth="10" defaultRowHeight="15" x14ac:dyDescent="0.4"/>
  <cols>
    <col min="1" max="1" width="34" style="1" customWidth="1"/>
    <col min="2" max="4" width="14.5" style="1" customWidth="1"/>
    <col min="5" max="5" width="13.25" style="1" customWidth="1"/>
    <col min="6" max="6" width="12.875" style="1" customWidth="1"/>
    <col min="7" max="16384" width="11" style="1"/>
  </cols>
  <sheetData>
    <row r="1" spans="1:6" ht="15.4" thickBot="1" x14ac:dyDescent="0.45"/>
    <row r="2" spans="1:6" ht="27" customHeight="1" thickBot="1" x14ac:dyDescent="0.45">
      <c r="A2" s="510" t="s">
        <v>195</v>
      </c>
      <c r="B2" s="514"/>
      <c r="C2" s="514"/>
      <c r="D2" s="514"/>
      <c r="E2" s="514"/>
      <c r="F2" s="515"/>
    </row>
    <row r="4" spans="1:6" x14ac:dyDescent="0.4">
      <c r="A4" s="130" t="s">
        <v>133</v>
      </c>
      <c r="B4" s="149" t="s">
        <v>132</v>
      </c>
      <c r="C4" s="149" t="s">
        <v>89</v>
      </c>
      <c r="D4" s="149" t="s">
        <v>88</v>
      </c>
      <c r="E4" s="149" t="s">
        <v>87</v>
      </c>
      <c r="F4" s="149" t="s">
        <v>86</v>
      </c>
    </row>
    <row r="5" spans="1:6" x14ac:dyDescent="0.4">
      <c r="A5" s="151" t="s">
        <v>131</v>
      </c>
      <c r="B5" s="24">
        <f>'CUOTA FIJA '!C7</f>
        <v>19651.888339875</v>
      </c>
      <c r="C5" s="24">
        <f>'CUOTA FIJA '!C8</f>
        <v>16461.661011063741</v>
      </c>
      <c r="D5" s="24">
        <f>'CUOTA FIJA '!C9</f>
        <v>12938.054926391709</v>
      </c>
      <c r="E5" s="24">
        <f>'CUOTA FIJA '!C10</f>
        <v>9046.2320058714467</v>
      </c>
      <c r="F5" s="24">
        <f>'CUOTA FIJA '!C11</f>
        <v>4747.713590156819</v>
      </c>
    </row>
    <row r="6" spans="1:6" x14ac:dyDescent="0.4">
      <c r="A6" s="151" t="s">
        <v>130</v>
      </c>
      <c r="B6" s="29">
        <f>'EGRESO FIJO '!B12</f>
        <v>60</v>
      </c>
      <c r="C6" s="29">
        <f>'EGRESO FIJO '!C12</f>
        <v>60.107999999999997</v>
      </c>
      <c r="D6" s="29">
        <f>'EGRESO FIJO '!D12</f>
        <v>60.216194399999999</v>
      </c>
      <c r="E6" s="29">
        <f>'EGRESO FIJO '!E12</f>
        <v>60.32458354992</v>
      </c>
      <c r="F6" s="29">
        <f>'EGRESO FIJO '!F12</f>
        <v>60.433167800309853</v>
      </c>
    </row>
    <row r="7" spans="1:6" x14ac:dyDescent="0.4">
      <c r="A7" s="150" t="s">
        <v>129</v>
      </c>
      <c r="B7" s="22">
        <f>SUM(B5:B6)</f>
        <v>19711.888339875</v>
      </c>
      <c r="C7" s="22">
        <f t="shared" ref="C7:F7" si="0">SUM(C5:C6)</f>
        <v>16521.769011063741</v>
      </c>
      <c r="D7" s="22">
        <f t="shared" si="0"/>
        <v>12998.271120791709</v>
      </c>
      <c r="E7" s="22">
        <f t="shared" si="0"/>
        <v>9106.5565894213669</v>
      </c>
      <c r="F7" s="22">
        <f t="shared" si="0"/>
        <v>4808.146757957129</v>
      </c>
    </row>
  </sheetData>
  <mergeCells count="1">
    <mergeCell ref="A2:F2"/>
  </mergeCells>
  <pageMargins left="0.25" right="0.25" top="0.67708333333333337"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sheetPr>
  <dimension ref="A1:XFD24"/>
  <sheetViews>
    <sheetView zoomScaleNormal="100" workbookViewId="0">
      <selection activeCell="A10" sqref="A10:XFD10"/>
    </sheetView>
  </sheetViews>
  <sheetFormatPr baseColWidth="10" defaultRowHeight="15" x14ac:dyDescent="0.4"/>
  <cols>
    <col min="1" max="1" width="51.25" style="1" customWidth="1"/>
    <col min="2" max="6" width="15.5" style="3" customWidth="1"/>
    <col min="7" max="16384" width="11" style="1"/>
  </cols>
  <sheetData>
    <row r="1" spans="1:6 16384:16384" ht="15.4" thickBot="1" x14ac:dyDescent="0.45"/>
    <row r="2" spans="1:6 16384:16384" ht="26.25" customHeight="1" thickBot="1" x14ac:dyDescent="0.45">
      <c r="A2" s="510" t="s">
        <v>196</v>
      </c>
      <c r="B2" s="514"/>
      <c r="C2" s="514"/>
      <c r="D2" s="514"/>
      <c r="E2" s="514"/>
      <c r="F2" s="514"/>
    </row>
    <row r="5" spans="1:6 16384:16384" x14ac:dyDescent="0.4">
      <c r="A5" s="21" t="s">
        <v>91</v>
      </c>
      <c r="B5" s="22" t="s">
        <v>90</v>
      </c>
      <c r="C5" s="22" t="s">
        <v>89</v>
      </c>
      <c r="D5" s="22" t="s">
        <v>88</v>
      </c>
      <c r="E5" s="22" t="s">
        <v>87</v>
      </c>
      <c r="F5" s="22" t="s">
        <v>86</v>
      </c>
    </row>
    <row r="6" spans="1:6 16384:16384" x14ac:dyDescent="0.4">
      <c r="A6" s="23" t="s">
        <v>151</v>
      </c>
      <c r="B6" s="24">
        <f>'TOTAL INGRESOS'!B5</f>
        <v>30000</v>
      </c>
      <c r="C6" s="24">
        <f>'TOTAL INGRESOS'!B6</f>
        <v>34650</v>
      </c>
      <c r="D6" s="24">
        <f>'TOTAL INGRESOS'!B7</f>
        <v>44200</v>
      </c>
      <c r="E6" s="24">
        <f>'TOTAL INGRESOS'!B8</f>
        <v>50400</v>
      </c>
      <c r="F6" s="24">
        <f>'TOTAL INGRESOS'!B9</f>
        <v>58500</v>
      </c>
    </row>
    <row r="7" spans="1:6 16384:16384" x14ac:dyDescent="0.4">
      <c r="A7" s="26" t="s">
        <v>150</v>
      </c>
      <c r="B7" s="27">
        <f>SUM(B6)</f>
        <v>30000</v>
      </c>
      <c r="C7" s="27">
        <f t="shared" ref="C7:F7" si="0">SUM(C6)</f>
        <v>34650</v>
      </c>
      <c r="D7" s="27">
        <f t="shared" si="0"/>
        <v>44200</v>
      </c>
      <c r="E7" s="27">
        <f t="shared" si="0"/>
        <v>50400</v>
      </c>
      <c r="F7" s="27">
        <f t="shared" si="0"/>
        <v>58500</v>
      </c>
      <c r="XFD7" s="88">
        <f>SUM(B7:XFC7)</f>
        <v>217750</v>
      </c>
    </row>
    <row r="8" spans="1:6 16384:16384" x14ac:dyDescent="0.4">
      <c r="A8" s="23" t="s">
        <v>149</v>
      </c>
      <c r="B8" s="28">
        <f>SUM(B9:B11)</f>
        <v>89119.8</v>
      </c>
      <c r="C8" s="28">
        <f>SUM(C9:C11)</f>
        <v>95402.628840000019</v>
      </c>
      <c r="D8" s="28">
        <f>SUM(D9:D11)</f>
        <v>95535.696771912</v>
      </c>
      <c r="E8" s="28">
        <f>SUM(E9:E11)</f>
        <v>95697.487166101462</v>
      </c>
      <c r="F8" s="28">
        <f>SUM(F9:F11)</f>
        <v>95831.034573708443</v>
      </c>
    </row>
    <row r="9" spans="1:6 16384:16384" x14ac:dyDescent="0.4">
      <c r="A9" s="25" t="s">
        <v>148</v>
      </c>
      <c r="B9" s="24">
        <f>'GASTOS ADM-VEN-NO OPER'!B23</f>
        <v>67643.8</v>
      </c>
      <c r="C9" s="24">
        <f>'GASTOS ADM-VEN-NO OPER'!C23</f>
        <v>73926.628840000019</v>
      </c>
      <c r="D9" s="24">
        <f>'GASTOS ADM-VEN-NO OPER'!D23</f>
        <v>74059.696771912</v>
      </c>
      <c r="E9" s="24">
        <f>'GASTOS ADM-VEN-NO OPER'!E23</f>
        <v>74193.004226101461</v>
      </c>
      <c r="F9" s="24">
        <f>'GASTOS ADM-VEN-NO OPER'!F23</f>
        <v>74326.551633708441</v>
      </c>
    </row>
    <row r="10" spans="1:6 16384:16384" x14ac:dyDescent="0.4">
      <c r="A10" s="25" t="s">
        <v>147</v>
      </c>
      <c r="B10" s="24">
        <f>'EGRESO FIJO '!B9</f>
        <v>20076</v>
      </c>
      <c r="C10" s="24">
        <f>'EGRESO FIJO '!C9</f>
        <v>20076</v>
      </c>
      <c r="D10" s="24">
        <f>'EGRESO FIJO '!D9</f>
        <v>20076</v>
      </c>
      <c r="E10" s="24">
        <f>'EGRESO FIJO '!E9</f>
        <v>20104.482940000002</v>
      </c>
      <c r="F10" s="24">
        <f>'EGRESO FIJO '!F9</f>
        <v>20104.482940000002</v>
      </c>
    </row>
    <row r="11" spans="1:6 16384:16384" x14ac:dyDescent="0.4">
      <c r="A11" s="25" t="s">
        <v>146</v>
      </c>
      <c r="B11" s="24">
        <f>'EGRESO FIJO '!B10</f>
        <v>1400</v>
      </c>
      <c r="C11" s="24">
        <f>'EGRESO FIJO '!C10</f>
        <v>1400</v>
      </c>
      <c r="D11" s="24">
        <f>'EGRESO FIJO '!D10</f>
        <v>1400</v>
      </c>
      <c r="E11" s="24">
        <f>'EGRESO FIJO '!E10</f>
        <v>1400</v>
      </c>
      <c r="F11" s="24">
        <f>'EGRESO FIJO '!F10</f>
        <v>1400</v>
      </c>
    </row>
    <row r="12" spans="1:6 16384:16384" x14ac:dyDescent="0.4">
      <c r="A12" s="26" t="s">
        <v>145</v>
      </c>
      <c r="B12" s="27">
        <f>B7-B8</f>
        <v>-59119.8</v>
      </c>
      <c r="C12" s="27">
        <f>C7-C8</f>
        <v>-60752.628840000019</v>
      </c>
      <c r="D12" s="27">
        <f>D7-D8</f>
        <v>-51335.696771912</v>
      </c>
      <c r="E12" s="27">
        <f>E7-E8</f>
        <v>-45297.487166101462</v>
      </c>
      <c r="F12" s="27">
        <f>F7-F8</f>
        <v>-37331.034573708443</v>
      </c>
    </row>
    <row r="13" spans="1:6 16384:16384" x14ac:dyDescent="0.4">
      <c r="A13" s="23" t="s">
        <v>144</v>
      </c>
      <c r="B13" s="24"/>
      <c r="C13" s="24"/>
      <c r="D13" s="24"/>
      <c r="E13" s="24"/>
      <c r="F13" s="24"/>
    </row>
    <row r="14" spans="1:6 16384:16384" x14ac:dyDescent="0.4">
      <c r="A14" s="25" t="s">
        <v>143</v>
      </c>
      <c r="B14" s="29" t="s">
        <v>164</v>
      </c>
      <c r="C14" s="29" t="s">
        <v>164</v>
      </c>
      <c r="D14" s="24">
        <f>'DEPRECIACIONES '!B14</f>
        <v>2905.4488199999996</v>
      </c>
      <c r="E14" s="29" t="s">
        <v>164</v>
      </c>
      <c r="F14" s="29" t="s">
        <v>164</v>
      </c>
    </row>
    <row r="15" spans="1:6 16384:16384" x14ac:dyDescent="0.4">
      <c r="A15" s="23" t="s">
        <v>142</v>
      </c>
      <c r="B15" s="28">
        <f>B16+B17</f>
        <v>23154.078339874999</v>
      </c>
      <c r="C15" s="28">
        <f>C16+C17</f>
        <v>19970.154953063742</v>
      </c>
      <c r="D15" s="28">
        <f>D16+D17</f>
        <v>16452.864157487311</v>
      </c>
      <c r="E15" s="28">
        <f>E16+E17</f>
        <v>12567.367893583019</v>
      </c>
      <c r="F15" s="28">
        <f>F16+F17</f>
        <v>8275.1875224662726</v>
      </c>
    </row>
    <row r="16" spans="1:6 16384:16384" x14ac:dyDescent="0.4">
      <c r="A16" s="25" t="s">
        <v>141</v>
      </c>
      <c r="B16" s="24">
        <f>'GASTOS FINANCIEROS '!B7</f>
        <v>19711.888339875</v>
      </c>
      <c r="C16" s="24">
        <f>'GASTOS FINANCIEROS '!C7</f>
        <v>16521.769011063741</v>
      </c>
      <c r="D16" s="24">
        <f>'GASTOS FINANCIEROS '!D7</f>
        <v>12998.271120791709</v>
      </c>
      <c r="E16" s="24">
        <f>'GASTOS FINANCIEROS '!E7</f>
        <v>9106.5565894213669</v>
      </c>
      <c r="F16" s="24">
        <f>'GASTOS FINANCIEROS '!F7</f>
        <v>4808.146757957129</v>
      </c>
    </row>
    <row r="17" spans="1:6" x14ac:dyDescent="0.4">
      <c r="A17" s="25" t="s">
        <v>140</v>
      </c>
      <c r="B17" s="24">
        <f>'GASTOS ADM-VEN-NO OPER'!B33</f>
        <v>3442.1900000000005</v>
      </c>
      <c r="C17" s="24">
        <f>'GASTOS ADM-VEN-NO OPER'!C33</f>
        <v>3448.3859420000008</v>
      </c>
      <c r="D17" s="24">
        <f>'GASTOS ADM-VEN-NO OPER'!D33</f>
        <v>3454.5930366956004</v>
      </c>
      <c r="E17" s="24">
        <f>'GASTOS ADM-VEN-NO OPER'!E33</f>
        <v>3460.8113041616525</v>
      </c>
      <c r="F17" s="24">
        <f>'GASTOS ADM-VEN-NO OPER'!F33</f>
        <v>3467.0407645091436</v>
      </c>
    </row>
    <row r="18" spans="1:6" x14ac:dyDescent="0.4">
      <c r="A18" s="26" t="s">
        <v>139</v>
      </c>
      <c r="B18" s="27">
        <f>B12-B15</f>
        <v>-82273.878339874995</v>
      </c>
      <c r="C18" s="27">
        <f>C12-C15</f>
        <v>-80722.783793063762</v>
      </c>
      <c r="D18" s="27">
        <f>(D12+D14)-D15</f>
        <v>-64883.112109399313</v>
      </c>
      <c r="E18" s="27">
        <f>E12-E15</f>
        <v>-57864.85505968448</v>
      </c>
      <c r="F18" s="27">
        <f>F12-F15</f>
        <v>-45606.222096174715</v>
      </c>
    </row>
    <row r="19" spans="1:6" x14ac:dyDescent="0.4">
      <c r="A19" s="25" t="s">
        <v>138</v>
      </c>
      <c r="B19" s="24">
        <f>B18*15%</f>
        <v>-12341.08175098125</v>
      </c>
      <c r="C19" s="24">
        <f>C18*15%</f>
        <v>-12108.417568959563</v>
      </c>
      <c r="D19" s="24">
        <f>D18*15%</f>
        <v>-9732.4668164098966</v>
      </c>
      <c r="E19" s="24">
        <f>E18*15%</f>
        <v>-8679.7282589526712</v>
      </c>
      <c r="F19" s="24">
        <f>F18*15%</f>
        <v>-6840.9333144262073</v>
      </c>
    </row>
    <row r="20" spans="1:6" x14ac:dyDescent="0.4">
      <c r="A20" s="26" t="s">
        <v>137</v>
      </c>
      <c r="B20" s="27">
        <f>B18-B19</f>
        <v>-69932.796588893747</v>
      </c>
      <c r="C20" s="27">
        <f>C18-C19</f>
        <v>-68614.366224104204</v>
      </c>
      <c r="D20" s="27">
        <f>D18-D19</f>
        <v>-55150.645292989415</v>
      </c>
      <c r="E20" s="27">
        <f>E18-E19</f>
        <v>-49185.126800731807</v>
      </c>
      <c r="F20" s="27">
        <f>F18-F19</f>
        <v>-38765.28878174851</v>
      </c>
    </row>
    <row r="21" spans="1:6" x14ac:dyDescent="0.4">
      <c r="A21" s="25" t="s">
        <v>136</v>
      </c>
      <c r="B21" s="24">
        <f>B20*22%</f>
        <v>-15385.215249556624</v>
      </c>
      <c r="C21" s="24">
        <f>C20*22%</f>
        <v>-15095.160569302925</v>
      </c>
      <c r="D21" s="24">
        <f>D20*22%</f>
        <v>-12133.141964457671</v>
      </c>
      <c r="E21" s="24">
        <f>E20*22%</f>
        <v>-10820.727896160997</v>
      </c>
      <c r="F21" s="24">
        <f>F20*22%</f>
        <v>-8528.3635319846726</v>
      </c>
    </row>
    <row r="22" spans="1:6" x14ac:dyDescent="0.4">
      <c r="A22" s="26" t="s">
        <v>135</v>
      </c>
      <c r="B22" s="27">
        <f>B20-B21</f>
        <v>-54547.581339337121</v>
      </c>
      <c r="C22" s="27">
        <f>C20-C21</f>
        <v>-53519.205654801277</v>
      </c>
      <c r="D22" s="27">
        <f>D20-D21</f>
        <v>-43017.503328531748</v>
      </c>
      <c r="E22" s="27">
        <f>E20-E21</f>
        <v>-38364.398904570808</v>
      </c>
      <c r="F22" s="27">
        <f>F20-F21</f>
        <v>-30236.925249763837</v>
      </c>
    </row>
    <row r="23" spans="1:6" x14ac:dyDescent="0.4">
      <c r="A23" s="25" t="s">
        <v>473</v>
      </c>
      <c r="B23" s="24">
        <f>B22*1%</f>
        <v>-545.47581339337125</v>
      </c>
      <c r="C23" s="24">
        <f t="shared" ref="C23:F23" si="1">C22*1%</f>
        <v>-535.19205654801283</v>
      </c>
      <c r="D23" s="24">
        <f t="shared" si="1"/>
        <v>-430.17503328531751</v>
      </c>
      <c r="E23" s="24">
        <f t="shared" si="1"/>
        <v>-383.64398904570811</v>
      </c>
      <c r="F23" s="24">
        <f t="shared" si="1"/>
        <v>-302.3692524976384</v>
      </c>
    </row>
    <row r="24" spans="1:6" x14ac:dyDescent="0.4">
      <c r="A24" s="26" t="s">
        <v>134</v>
      </c>
      <c r="B24" s="27">
        <f>B22-B23</f>
        <v>-54002.105525943749</v>
      </c>
      <c r="C24" s="27">
        <f>C22-C23</f>
        <v>-52984.013598253267</v>
      </c>
      <c r="D24" s="27">
        <f>D22-D23</f>
        <v>-42587.328295246429</v>
      </c>
      <c r="E24" s="27">
        <f>E22-E23</f>
        <v>-37980.754915525096</v>
      </c>
      <c r="F24" s="27">
        <f>F22-F23</f>
        <v>-29934.555997266198</v>
      </c>
    </row>
  </sheetData>
  <mergeCells count="1">
    <mergeCell ref="A2:F2"/>
  </mergeCells>
  <pageMargins left="0.25" right="0.25" top="0.75" bottom="0.75" header="0.3" footer="0.3"/>
  <pageSetup paperSize="9" orientation="landscape" r:id="rId1"/>
  <ignoredErrors>
    <ignoredError sqref="D18 B21:F21"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sheetPr>
  <dimension ref="A1:I16"/>
  <sheetViews>
    <sheetView topLeftCell="A4" zoomScaleNormal="100" zoomScalePageLayoutView="80" workbookViewId="0">
      <selection activeCell="G6" sqref="G6"/>
    </sheetView>
  </sheetViews>
  <sheetFormatPr baseColWidth="10" defaultRowHeight="15" x14ac:dyDescent="0.4"/>
  <cols>
    <col min="1" max="1" width="11" style="4" customWidth="1"/>
    <col min="2" max="2" width="21.375" style="4" customWidth="1"/>
    <col min="3" max="3" width="22" style="4" customWidth="1"/>
    <col min="4" max="4" width="19" style="4" customWidth="1"/>
    <col min="5" max="5" width="30.375" style="4" customWidth="1"/>
    <col min="6" max="6" width="25" style="4" customWidth="1"/>
    <col min="7" max="7" width="17.375" style="4" customWidth="1"/>
    <col min="8" max="8" width="17" style="4" customWidth="1"/>
    <col min="9" max="16384" width="11" style="4"/>
  </cols>
  <sheetData>
    <row r="1" spans="1:9" ht="15.4" thickBot="1" x14ac:dyDescent="0.45"/>
    <row r="2" spans="1:9" ht="25.5" customHeight="1" thickBot="1" x14ac:dyDescent="0.45">
      <c r="A2" s="373" t="s">
        <v>319</v>
      </c>
      <c r="B2" s="374"/>
      <c r="C2" s="374"/>
      <c r="D2" s="374"/>
      <c r="E2" s="374"/>
      <c r="F2" s="374"/>
      <c r="G2" s="375"/>
    </row>
    <row r="3" spans="1:9" ht="15.4" thickBot="1" x14ac:dyDescent="0.45"/>
    <row r="4" spans="1:9" ht="42" customHeight="1" x14ac:dyDescent="0.4">
      <c r="A4" s="57" t="s">
        <v>23</v>
      </c>
      <c r="B4" s="58" t="s">
        <v>24</v>
      </c>
      <c r="C4" s="58" t="s">
        <v>25</v>
      </c>
      <c r="D4" s="58" t="s">
        <v>26</v>
      </c>
      <c r="E4" s="58" t="s">
        <v>27</v>
      </c>
      <c r="F4" s="58" t="s">
        <v>28</v>
      </c>
      <c r="G4" s="59" t="s">
        <v>29</v>
      </c>
      <c r="I4" s="60"/>
    </row>
    <row r="5" spans="1:9" ht="29.25" customHeight="1" x14ac:dyDescent="0.4">
      <c r="A5" s="40" t="s">
        <v>30</v>
      </c>
      <c r="B5" s="41">
        <f>'DEPRECIACIONES '!B7</f>
        <v>70000</v>
      </c>
      <c r="C5" s="42"/>
      <c r="D5" s="39"/>
      <c r="E5" s="43"/>
      <c r="F5" s="42"/>
      <c r="G5" s="44">
        <f>B5</f>
        <v>70000</v>
      </c>
    </row>
    <row r="6" spans="1:9" ht="30" x14ac:dyDescent="0.4">
      <c r="A6" s="40" t="s">
        <v>13</v>
      </c>
      <c r="B6" s="45" t="s">
        <v>320</v>
      </c>
      <c r="C6" s="46" t="s">
        <v>323</v>
      </c>
      <c r="D6" s="47">
        <f>B5*0.01</f>
        <v>700</v>
      </c>
      <c r="E6" s="45" t="s">
        <v>326</v>
      </c>
      <c r="F6" s="48" t="s">
        <v>329</v>
      </c>
      <c r="G6" s="44">
        <f>G5+D6</f>
        <v>70700</v>
      </c>
    </row>
    <row r="7" spans="1:9" ht="30" x14ac:dyDescent="0.4">
      <c r="A7" s="40" t="s">
        <v>14</v>
      </c>
      <c r="B7" s="49" t="s">
        <v>321</v>
      </c>
      <c r="C7" s="50" t="s">
        <v>324</v>
      </c>
      <c r="D7" s="47">
        <f>G6*0.01</f>
        <v>707</v>
      </c>
      <c r="E7" s="45" t="s">
        <v>327</v>
      </c>
      <c r="F7" s="48" t="s">
        <v>330</v>
      </c>
      <c r="G7" s="44">
        <f>G6+D7</f>
        <v>71407</v>
      </c>
    </row>
    <row r="8" spans="1:9" ht="30.4" thickBot="1" x14ac:dyDescent="0.45">
      <c r="A8" s="51" t="s">
        <v>15</v>
      </c>
      <c r="B8" s="52" t="s">
        <v>322</v>
      </c>
      <c r="C8" s="53" t="s">
        <v>325</v>
      </c>
      <c r="D8" s="54">
        <f>G7*0.01</f>
        <v>714.07</v>
      </c>
      <c r="E8" s="52" t="s">
        <v>328</v>
      </c>
      <c r="F8" s="55" t="s">
        <v>331</v>
      </c>
      <c r="G8" s="56">
        <f>G7+D8</f>
        <v>72121.070000000007</v>
      </c>
    </row>
    <row r="9" spans="1:9" ht="15.4" thickBot="1" x14ac:dyDescent="0.45"/>
    <row r="10" spans="1:9" ht="15.4" thickBot="1" x14ac:dyDescent="0.45">
      <c r="A10" s="373" t="s">
        <v>306</v>
      </c>
      <c r="B10" s="374"/>
      <c r="C10" s="374"/>
      <c r="D10" s="374"/>
      <c r="E10" s="374"/>
      <c r="F10" s="374"/>
      <c r="G10" s="375"/>
    </row>
    <row r="11" spans="1:9" ht="15.4" thickBot="1" x14ac:dyDescent="0.45"/>
    <row r="12" spans="1:9" ht="30" x14ac:dyDescent="0.4">
      <c r="A12" s="65" t="s">
        <v>23</v>
      </c>
      <c r="B12" s="66" t="s">
        <v>24</v>
      </c>
      <c r="C12" s="66" t="s">
        <v>25</v>
      </c>
      <c r="D12" s="66" t="s">
        <v>26</v>
      </c>
      <c r="E12" s="66" t="s">
        <v>27</v>
      </c>
      <c r="F12" s="66" t="s">
        <v>28</v>
      </c>
      <c r="G12" s="59" t="s">
        <v>29</v>
      </c>
    </row>
    <row r="13" spans="1:9" x14ac:dyDescent="0.4">
      <c r="A13" s="40" t="s">
        <v>30</v>
      </c>
      <c r="B13" s="41">
        <f>'DEPRECIACIONES '!B13</f>
        <v>2820</v>
      </c>
      <c r="C13" s="42"/>
      <c r="D13" s="39"/>
      <c r="E13" s="43"/>
      <c r="F13" s="42"/>
      <c r="G13" s="44">
        <f>B13</f>
        <v>2820</v>
      </c>
    </row>
    <row r="14" spans="1:9" ht="30" x14ac:dyDescent="0.4">
      <c r="A14" s="40" t="s">
        <v>13</v>
      </c>
      <c r="B14" s="80" t="s">
        <v>297</v>
      </c>
      <c r="C14" s="46" t="s">
        <v>300</v>
      </c>
      <c r="D14" s="91">
        <f>B13*0.01</f>
        <v>28.2</v>
      </c>
      <c r="E14" s="80" t="s">
        <v>307</v>
      </c>
      <c r="F14" s="48" t="s">
        <v>303</v>
      </c>
      <c r="G14" s="44">
        <f>G13+D14</f>
        <v>2848.2</v>
      </c>
    </row>
    <row r="15" spans="1:9" ht="30" x14ac:dyDescent="0.4">
      <c r="A15" s="40" t="s">
        <v>14</v>
      </c>
      <c r="B15" s="49" t="s">
        <v>298</v>
      </c>
      <c r="C15" s="50" t="s">
        <v>301</v>
      </c>
      <c r="D15" s="91">
        <f>G14*0.01</f>
        <v>28.481999999999999</v>
      </c>
      <c r="E15" s="80" t="s">
        <v>308</v>
      </c>
      <c r="F15" s="48" t="s">
        <v>305</v>
      </c>
      <c r="G15" s="44">
        <f>G14+D15</f>
        <v>2876.6819999999998</v>
      </c>
    </row>
    <row r="16" spans="1:9" ht="30.4" thickBot="1" x14ac:dyDescent="0.45">
      <c r="A16" s="51" t="s">
        <v>15</v>
      </c>
      <c r="B16" s="52" t="s">
        <v>299</v>
      </c>
      <c r="C16" s="53" t="s">
        <v>302</v>
      </c>
      <c r="D16" s="54">
        <f>G15*0.01</f>
        <v>28.766819999999999</v>
      </c>
      <c r="E16" s="52" t="s">
        <v>309</v>
      </c>
      <c r="F16" s="55" t="s">
        <v>304</v>
      </c>
      <c r="G16" s="56">
        <f>G15+D16</f>
        <v>2905.4488199999996</v>
      </c>
    </row>
  </sheetData>
  <mergeCells count="2">
    <mergeCell ref="A2:G2"/>
    <mergeCell ref="A10:G10"/>
  </mergeCells>
  <pageMargins left="0.15625" right="0.25"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16"/>
  <sheetViews>
    <sheetView workbookViewId="0">
      <selection activeCell="D4" sqref="D4"/>
    </sheetView>
  </sheetViews>
  <sheetFormatPr baseColWidth="10" defaultRowHeight="14.25" x14ac:dyDescent="0.4"/>
  <cols>
    <col min="1" max="1" width="20.375" customWidth="1"/>
    <col min="2" max="2" width="15" customWidth="1"/>
    <col min="4" max="4" width="16.25" customWidth="1"/>
  </cols>
  <sheetData>
    <row r="1" spans="1:4" ht="14.65" thickBot="1" x14ac:dyDescent="0.45"/>
    <row r="2" spans="1:4" ht="15.4" thickBot="1" x14ac:dyDescent="0.45">
      <c r="A2" s="523" t="s">
        <v>474</v>
      </c>
      <c r="B2" s="524"/>
      <c r="C2" s="524"/>
      <c r="D2" s="525"/>
    </row>
    <row r="3" spans="1:4" ht="15.4" thickBot="1" x14ac:dyDescent="0.45">
      <c r="A3" s="261" t="s">
        <v>477</v>
      </c>
      <c r="B3" s="261" t="s">
        <v>478</v>
      </c>
      <c r="C3" s="261" t="s">
        <v>474</v>
      </c>
      <c r="D3" s="261" t="s">
        <v>479</v>
      </c>
    </row>
    <row r="4" spans="1:4" ht="15.4" x14ac:dyDescent="0.45">
      <c r="A4" s="262" t="s">
        <v>468</v>
      </c>
      <c r="B4" s="264">
        <v>0.1</v>
      </c>
      <c r="C4" s="266">
        <f>SUM(B10:B11)</f>
        <v>7.9000000000000001E-2</v>
      </c>
      <c r="D4" s="267">
        <f>B4*C4</f>
        <v>7.9000000000000008E-3</v>
      </c>
    </row>
    <row r="5" spans="1:4" ht="15.75" thickBot="1" x14ac:dyDescent="0.5">
      <c r="A5" s="263" t="s">
        <v>480</v>
      </c>
      <c r="B5" s="265">
        <v>0.9</v>
      </c>
      <c r="C5" s="266">
        <v>0.1183</v>
      </c>
      <c r="D5" s="267">
        <f>B5*C5</f>
        <v>0.10647000000000001</v>
      </c>
    </row>
    <row r="6" spans="1:4" ht="15.75" thickBot="1" x14ac:dyDescent="0.5">
      <c r="A6" s="523" t="s">
        <v>481</v>
      </c>
      <c r="B6" s="524"/>
      <c r="C6" s="524"/>
      <c r="D6" s="268">
        <f>SUM(D4:D5)</f>
        <v>0.11437000000000001</v>
      </c>
    </row>
    <row r="8" spans="1:4" x14ac:dyDescent="0.4">
      <c r="A8" s="526" t="s">
        <v>475</v>
      </c>
      <c r="B8" s="527"/>
    </row>
    <row r="9" spans="1:4" x14ac:dyDescent="0.4">
      <c r="A9" s="528"/>
      <c r="B9" s="529"/>
    </row>
    <row r="10" spans="1:4" ht="15" x14ac:dyDescent="0.4">
      <c r="A10" s="259" t="s">
        <v>476</v>
      </c>
      <c r="B10" s="260">
        <v>1.8E-3</v>
      </c>
    </row>
    <row r="11" spans="1:4" ht="15" x14ac:dyDescent="0.4">
      <c r="A11" s="259" t="s">
        <v>484</v>
      </c>
      <c r="B11" s="260">
        <v>7.7200000000000005E-2</v>
      </c>
    </row>
    <row r="13" spans="1:4" x14ac:dyDescent="0.4">
      <c r="A13" t="s">
        <v>482</v>
      </c>
    </row>
    <row r="14" spans="1:4" x14ac:dyDescent="0.4">
      <c r="A14" s="270" t="s">
        <v>483</v>
      </c>
    </row>
    <row r="16" spans="1:4" ht="131.25" customHeight="1" x14ac:dyDescent="0.4">
      <c r="A16" s="530" t="s">
        <v>485</v>
      </c>
      <c r="B16" s="530"/>
      <c r="C16" s="530"/>
      <c r="D16" s="530"/>
    </row>
  </sheetData>
  <mergeCells count="4">
    <mergeCell ref="A2:D2"/>
    <mergeCell ref="A6:C6"/>
    <mergeCell ref="A8:B9"/>
    <mergeCell ref="A16:D16"/>
  </mergeCells>
  <hyperlinks>
    <hyperlink ref="A14" r:id="rId1"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J10"/>
  <sheetViews>
    <sheetView topLeftCell="B1" workbookViewId="0">
      <selection activeCell="D11" sqref="D11"/>
    </sheetView>
  </sheetViews>
  <sheetFormatPr baseColWidth="10" defaultRowHeight="15" x14ac:dyDescent="0.4"/>
  <cols>
    <col min="1" max="1" width="11" style="4"/>
    <col min="2" max="2" width="39.625" style="4" customWidth="1"/>
    <col min="3" max="3" width="14.5" style="4" bestFit="1" customWidth="1"/>
    <col min="4" max="8" width="13.75" style="4" bestFit="1" customWidth="1"/>
    <col min="9" max="9" width="11" style="4"/>
    <col min="10" max="10" width="12.375" style="4" bestFit="1" customWidth="1"/>
    <col min="11" max="16384" width="11" style="4"/>
  </cols>
  <sheetData>
    <row r="1" spans="2:10" ht="15.4" thickBot="1" x14ac:dyDescent="0.45">
      <c r="B1" s="535" t="s">
        <v>489</v>
      </c>
      <c r="C1" s="536"/>
      <c r="D1" s="536"/>
      <c r="E1" s="536"/>
      <c r="F1" s="536"/>
      <c r="G1" s="536"/>
      <c r="H1" s="537"/>
    </row>
    <row r="2" spans="2:10" ht="15.4" thickBot="1" x14ac:dyDescent="0.45"/>
    <row r="3" spans="2:10" ht="15.75" customHeight="1" x14ac:dyDescent="0.4">
      <c r="B3" s="546" t="s">
        <v>474</v>
      </c>
      <c r="C3" s="549">
        <f>TMAR!D6</f>
        <v>0.11437000000000001</v>
      </c>
      <c r="D3" s="550"/>
      <c r="E3" s="550"/>
      <c r="F3" s="550"/>
      <c r="G3" s="550"/>
      <c r="H3" s="551"/>
    </row>
    <row r="4" spans="2:10" ht="15.75" customHeight="1" thickBot="1" x14ac:dyDescent="0.45">
      <c r="B4" s="547"/>
      <c r="C4" s="552"/>
      <c r="D4" s="553"/>
      <c r="E4" s="553"/>
      <c r="F4" s="553"/>
      <c r="G4" s="553"/>
      <c r="H4" s="554"/>
    </row>
    <row r="5" spans="2:10" ht="15.75" customHeight="1" x14ac:dyDescent="0.4">
      <c r="B5" s="546" t="s">
        <v>152</v>
      </c>
      <c r="C5" s="533">
        <v>0</v>
      </c>
      <c r="D5" s="533">
        <v>1</v>
      </c>
      <c r="E5" s="533">
        <v>2</v>
      </c>
      <c r="F5" s="531">
        <v>3</v>
      </c>
      <c r="G5" s="533">
        <v>4</v>
      </c>
      <c r="H5" s="533">
        <v>5</v>
      </c>
    </row>
    <row r="6" spans="2:10" ht="15.75" customHeight="1" thickBot="1" x14ac:dyDescent="0.45">
      <c r="B6" s="547"/>
      <c r="C6" s="534"/>
      <c r="D6" s="534"/>
      <c r="E6" s="534"/>
      <c r="F6" s="532"/>
      <c r="G6" s="534"/>
      <c r="H6" s="534"/>
    </row>
    <row r="7" spans="2:10" ht="15.75" customHeight="1" x14ac:dyDescent="0.4">
      <c r="B7" s="546" t="s">
        <v>487</v>
      </c>
      <c r="C7" s="538">
        <f>-INVERSIONES!B7</f>
        <v>-208951.4975</v>
      </c>
      <c r="D7" s="538">
        <v>485385.98</v>
      </c>
      <c r="E7" s="538">
        <f>+(D7*11.4%)+D7</f>
        <v>540719.98172000004</v>
      </c>
      <c r="F7" s="538">
        <f t="shared" ref="F7:H7" si="0">+(E7*11.4%)+E7</f>
        <v>602362.05963608006</v>
      </c>
      <c r="G7" s="538">
        <f t="shared" si="0"/>
        <v>671031.33443459321</v>
      </c>
      <c r="H7" s="538">
        <f t="shared" si="0"/>
        <v>747528.90656013682</v>
      </c>
      <c r="J7" s="271"/>
    </row>
    <row r="8" spans="2:10" ht="15.75" customHeight="1" thickBot="1" x14ac:dyDescent="0.45">
      <c r="B8" s="547"/>
      <c r="C8" s="548"/>
      <c r="D8" s="539"/>
      <c r="E8" s="539"/>
      <c r="F8" s="539"/>
      <c r="G8" s="539"/>
      <c r="H8" s="539"/>
    </row>
    <row r="9" spans="2:10" ht="15.75" customHeight="1" thickBot="1" x14ac:dyDescent="0.45">
      <c r="B9" s="272" t="s">
        <v>486</v>
      </c>
      <c r="C9" s="540" t="s">
        <v>488</v>
      </c>
      <c r="D9" s="541"/>
      <c r="E9" s="541"/>
      <c r="F9" s="541"/>
      <c r="G9" s="541"/>
      <c r="H9" s="542"/>
    </row>
    <row r="10" spans="2:10" ht="15.75" customHeight="1" thickBot="1" x14ac:dyDescent="0.45">
      <c r="B10" s="273" t="s">
        <v>486</v>
      </c>
      <c r="C10" s="543">
        <f>NPV(C3,C7,D7,E7,F7,G7,H7)</f>
        <v>1765528.5540427526</v>
      </c>
      <c r="D10" s="544"/>
      <c r="E10" s="544"/>
      <c r="F10" s="544"/>
      <c r="G10" s="544"/>
      <c r="H10" s="545"/>
    </row>
  </sheetData>
  <mergeCells count="19">
    <mergeCell ref="C9:H9"/>
    <mergeCell ref="C10:H10"/>
    <mergeCell ref="B7:B8"/>
    <mergeCell ref="C7:C8"/>
    <mergeCell ref="D7:D8"/>
    <mergeCell ref="E7:E8"/>
    <mergeCell ref="F7:F8"/>
    <mergeCell ref="G7:G8"/>
    <mergeCell ref="F5:F6"/>
    <mergeCell ref="G5:G6"/>
    <mergeCell ref="H5:H6"/>
    <mergeCell ref="B1:H1"/>
    <mergeCell ref="H7:H8"/>
    <mergeCell ref="B3:B4"/>
    <mergeCell ref="C3:H4"/>
    <mergeCell ref="B5:B6"/>
    <mergeCell ref="C5:C6"/>
    <mergeCell ref="D5:D6"/>
    <mergeCell ref="E5:E6"/>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C1:I12"/>
  <sheetViews>
    <sheetView topLeftCell="C1" workbookViewId="0">
      <selection activeCell="F15" sqref="F15"/>
    </sheetView>
  </sheetViews>
  <sheetFormatPr baseColWidth="10" defaultRowHeight="14.25" x14ac:dyDescent="0.4"/>
  <cols>
    <col min="3" max="3" width="40.25" bestFit="1" customWidth="1"/>
    <col min="4" max="4" width="12.625" bestFit="1" customWidth="1"/>
    <col min="5" max="9" width="11.875" bestFit="1" customWidth="1"/>
  </cols>
  <sheetData>
    <row r="1" spans="3:9" ht="15.4" thickBot="1" x14ac:dyDescent="0.45">
      <c r="C1" s="535" t="s">
        <v>491</v>
      </c>
      <c r="D1" s="536"/>
      <c r="E1" s="536"/>
      <c r="F1" s="536"/>
      <c r="G1" s="536"/>
      <c r="H1" s="536"/>
      <c r="I1" s="537"/>
    </row>
    <row r="2" spans="3:9" ht="14.65" thickBot="1" x14ac:dyDescent="0.45"/>
    <row r="3" spans="3:9" x14ac:dyDescent="0.4">
      <c r="C3" s="555" t="s">
        <v>474</v>
      </c>
      <c r="D3" s="559">
        <f>TMAR!D6</f>
        <v>0.11437000000000001</v>
      </c>
      <c r="E3" s="560"/>
      <c r="F3" s="560"/>
      <c r="G3" s="560"/>
      <c r="H3" s="560"/>
      <c r="I3" s="561"/>
    </row>
    <row r="4" spans="3:9" ht="14.65" thickBot="1" x14ac:dyDescent="0.45">
      <c r="C4" s="556"/>
      <c r="D4" s="562"/>
      <c r="E4" s="563"/>
      <c r="F4" s="563"/>
      <c r="G4" s="563"/>
      <c r="H4" s="563"/>
      <c r="I4" s="564"/>
    </row>
    <row r="5" spans="3:9" x14ac:dyDescent="0.4">
      <c r="C5" s="555" t="s">
        <v>152</v>
      </c>
      <c r="D5" s="565">
        <v>0</v>
      </c>
      <c r="E5" s="565">
        <v>1</v>
      </c>
      <c r="F5" s="565">
        <v>2</v>
      </c>
      <c r="G5" s="567">
        <v>3</v>
      </c>
      <c r="H5" s="565">
        <v>4</v>
      </c>
      <c r="I5" s="565">
        <v>5</v>
      </c>
    </row>
    <row r="6" spans="3:9" ht="14.65" thickBot="1" x14ac:dyDescent="0.45">
      <c r="C6" s="556"/>
      <c r="D6" s="566"/>
      <c r="E6" s="566"/>
      <c r="F6" s="566"/>
      <c r="G6" s="568"/>
      <c r="H6" s="566"/>
      <c r="I6" s="566"/>
    </row>
    <row r="7" spans="3:9" x14ac:dyDescent="0.4">
      <c r="C7" s="555" t="s">
        <v>487</v>
      </c>
      <c r="D7" s="557">
        <f>VAN!C7</f>
        <v>-208951.4975</v>
      </c>
      <c r="E7" s="557">
        <f>VAN!D7</f>
        <v>485385.98</v>
      </c>
      <c r="F7" s="557">
        <f>VAN!E7</f>
        <v>540719.98172000004</v>
      </c>
      <c r="G7" s="557">
        <f>VAN!F7</f>
        <v>602362.05963608006</v>
      </c>
      <c r="H7" s="557">
        <f>VAN!G7</f>
        <v>671031.33443459321</v>
      </c>
      <c r="I7" s="557">
        <f>VAN!H7</f>
        <v>747528.90656013682</v>
      </c>
    </row>
    <row r="8" spans="3:9" ht="14.65" thickBot="1" x14ac:dyDescent="0.45">
      <c r="C8" s="556"/>
      <c r="D8" s="558"/>
      <c r="E8" s="558"/>
      <c r="F8" s="558"/>
      <c r="G8" s="558"/>
      <c r="H8" s="558"/>
      <c r="I8" s="558"/>
    </row>
    <row r="9" spans="3:9" x14ac:dyDescent="0.4">
      <c r="C9" s="555" t="s">
        <v>490</v>
      </c>
      <c r="D9" s="569" t="s">
        <v>492</v>
      </c>
      <c r="E9" s="560"/>
      <c r="F9" s="560"/>
      <c r="G9" s="560"/>
      <c r="H9" s="560"/>
      <c r="I9" s="561"/>
    </row>
    <row r="10" spans="3:9" ht="14.65" thickBot="1" x14ac:dyDescent="0.45">
      <c r="C10" s="556"/>
      <c r="D10" s="562"/>
      <c r="E10" s="563"/>
      <c r="F10" s="563"/>
      <c r="G10" s="563"/>
      <c r="H10" s="563"/>
      <c r="I10" s="564"/>
    </row>
    <row r="11" spans="3:9" x14ac:dyDescent="0.4">
      <c r="C11" s="555" t="s">
        <v>491</v>
      </c>
      <c r="D11" s="570">
        <f>IRR(D7:I8)</f>
        <v>2.4285477069116803</v>
      </c>
      <c r="E11" s="560"/>
      <c r="F11" s="560"/>
      <c r="G11" s="560"/>
      <c r="H11" s="560"/>
      <c r="I11" s="561"/>
    </row>
    <row r="12" spans="3:9" ht="14.65" thickBot="1" x14ac:dyDescent="0.45">
      <c r="C12" s="556"/>
      <c r="D12" s="562"/>
      <c r="E12" s="563"/>
      <c r="F12" s="563"/>
      <c r="G12" s="563"/>
      <c r="H12" s="563"/>
      <c r="I12" s="564"/>
    </row>
  </sheetData>
  <mergeCells count="21">
    <mergeCell ref="I7:I8"/>
    <mergeCell ref="C9:C10"/>
    <mergeCell ref="D9:I10"/>
    <mergeCell ref="C11:C12"/>
    <mergeCell ref="D11:I12"/>
    <mergeCell ref="C1:I1"/>
    <mergeCell ref="C7:C8"/>
    <mergeCell ref="D7:D8"/>
    <mergeCell ref="E7:E8"/>
    <mergeCell ref="F7:F8"/>
    <mergeCell ref="G7:G8"/>
    <mergeCell ref="H7:H8"/>
    <mergeCell ref="C3:C4"/>
    <mergeCell ref="D3:I4"/>
    <mergeCell ref="C5:C6"/>
    <mergeCell ref="D5:D6"/>
    <mergeCell ref="E5:E6"/>
    <mergeCell ref="F5:F6"/>
    <mergeCell ref="G5:G6"/>
    <mergeCell ref="H5:H6"/>
    <mergeCell ref="I5:I6"/>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I19"/>
  <sheetViews>
    <sheetView zoomScale="80" zoomScaleNormal="80" workbookViewId="0">
      <selection activeCell="I19" sqref="I19"/>
    </sheetView>
  </sheetViews>
  <sheetFormatPr baseColWidth="10" defaultRowHeight="14.25" x14ac:dyDescent="0.4"/>
  <cols>
    <col min="1" max="1" width="14.375" customWidth="1"/>
    <col min="2" max="2" width="13.25" customWidth="1"/>
    <col min="3" max="3" width="13" customWidth="1"/>
    <col min="4" max="4" width="31.125" customWidth="1"/>
    <col min="5" max="5" width="31" customWidth="1"/>
    <col min="6" max="6" width="21.875" customWidth="1"/>
    <col min="7" max="7" width="20.375" customWidth="1"/>
    <col min="8" max="8" width="18.125" customWidth="1"/>
    <col min="9" max="9" width="20.375" customWidth="1"/>
  </cols>
  <sheetData>
    <row r="2" spans="1:9" ht="15.4" x14ac:dyDescent="0.45">
      <c r="A2" s="572" t="s">
        <v>493</v>
      </c>
      <c r="B2" s="572"/>
      <c r="C2" s="275" t="s">
        <v>494</v>
      </c>
      <c r="D2" s="275" t="s">
        <v>495</v>
      </c>
      <c r="E2" s="275" t="s">
        <v>496</v>
      </c>
      <c r="F2" s="275" t="s">
        <v>497</v>
      </c>
      <c r="G2" s="275" t="s">
        <v>498</v>
      </c>
      <c r="H2" s="275" t="s">
        <v>499</v>
      </c>
      <c r="I2" s="275" t="s">
        <v>500</v>
      </c>
    </row>
    <row r="3" spans="1:9" ht="39.75" customHeight="1" x14ac:dyDescent="0.4">
      <c r="A3" s="571" t="s">
        <v>338</v>
      </c>
      <c r="B3" s="571"/>
      <c r="C3" s="274" t="s">
        <v>229</v>
      </c>
      <c r="D3" s="274" t="s">
        <v>501</v>
      </c>
      <c r="E3" s="274" t="s">
        <v>507</v>
      </c>
      <c r="F3" s="274" t="s">
        <v>502</v>
      </c>
      <c r="G3" s="274" t="s">
        <v>503</v>
      </c>
      <c r="H3" s="274" t="s">
        <v>504</v>
      </c>
      <c r="I3" s="274" t="s">
        <v>505</v>
      </c>
    </row>
    <row r="4" spans="1:9" ht="15" x14ac:dyDescent="0.4">
      <c r="A4" s="203" t="s">
        <v>379</v>
      </c>
      <c r="B4" s="203" t="s">
        <v>380</v>
      </c>
      <c r="C4" s="203" t="s">
        <v>381</v>
      </c>
      <c r="D4" s="278">
        <v>2913.0749999999994</v>
      </c>
      <c r="E4" s="279">
        <f>+D4/$D$19</f>
        <v>8.4745762711864403E-2</v>
      </c>
      <c r="F4" s="281">
        <f>'CUADRO DE INGRESOS AÑO 1'!D6</f>
        <v>0.5</v>
      </c>
      <c r="G4" s="282">
        <f>+E4*F4</f>
        <v>4.2372881355932202E-2</v>
      </c>
      <c r="H4" s="281">
        <f>'COSTOS DE PRODUCCIÓN'!D8</f>
        <v>0.5</v>
      </c>
      <c r="I4" s="281">
        <f>+E4*H4</f>
        <v>4.2372881355932202E-2</v>
      </c>
    </row>
    <row r="5" spans="1:9" ht="16.5" customHeight="1" x14ac:dyDescent="0.4">
      <c r="A5" s="203" t="s">
        <v>379</v>
      </c>
      <c r="B5" s="203" t="s">
        <v>382</v>
      </c>
      <c r="C5" s="203" t="s">
        <v>383</v>
      </c>
      <c r="D5" s="278">
        <v>1747.845</v>
      </c>
      <c r="E5" s="279">
        <f t="shared" ref="E5:E18" si="0">+D5/$D$19</f>
        <v>5.0847457627118647E-2</v>
      </c>
      <c r="F5" s="281" t="e">
        <f>'CUADRO DE INGRESOS AÑO 1'!#REF!</f>
        <v>#REF!</v>
      </c>
      <c r="G5" s="282" t="e">
        <f t="shared" ref="G5:G18" si="1">+E5*F5</f>
        <v>#REF!</v>
      </c>
      <c r="H5" s="281" t="e">
        <f>'COSTOS DE PRODUCCIÓN'!#REF!</f>
        <v>#REF!</v>
      </c>
      <c r="I5" s="281" t="e">
        <f t="shared" ref="I5:I18" si="2">+E5*H5</f>
        <v>#REF!</v>
      </c>
    </row>
    <row r="6" spans="1:9" ht="15" x14ac:dyDescent="0.4">
      <c r="A6" s="203" t="s">
        <v>379</v>
      </c>
      <c r="B6" s="203" t="s">
        <v>384</v>
      </c>
      <c r="C6" s="203" t="s">
        <v>385</v>
      </c>
      <c r="D6" s="278">
        <v>2330.4599999999996</v>
      </c>
      <c r="E6" s="279">
        <f t="shared" si="0"/>
        <v>6.7796610169491525E-2</v>
      </c>
      <c r="F6" s="281" t="e">
        <f>'CUADRO DE INGRESOS AÑO 1'!#REF!</f>
        <v>#REF!</v>
      </c>
      <c r="G6" s="282" t="e">
        <f t="shared" si="1"/>
        <v>#REF!</v>
      </c>
      <c r="H6" s="281" t="e">
        <f>'COSTOS DE PRODUCCIÓN'!#REF!</f>
        <v>#REF!</v>
      </c>
      <c r="I6" s="281" t="e">
        <f t="shared" si="2"/>
        <v>#REF!</v>
      </c>
    </row>
    <row r="7" spans="1:9" ht="15" x14ac:dyDescent="0.4">
      <c r="A7" s="203" t="s">
        <v>386</v>
      </c>
      <c r="B7" s="203" t="s">
        <v>384</v>
      </c>
      <c r="C7" s="203" t="s">
        <v>387</v>
      </c>
      <c r="D7" s="278">
        <v>2913.0749999999994</v>
      </c>
      <c r="E7" s="279">
        <f t="shared" si="0"/>
        <v>8.4745762711864403E-2</v>
      </c>
      <c r="F7" s="281" t="e">
        <f>'CUADRO DE INGRESOS AÑO 1'!#REF!</f>
        <v>#REF!</v>
      </c>
      <c r="G7" s="282" t="e">
        <f t="shared" si="1"/>
        <v>#REF!</v>
      </c>
      <c r="H7" s="281" t="e">
        <f>'COSTOS DE PRODUCCIÓN'!#REF!</f>
        <v>#REF!</v>
      </c>
      <c r="I7" s="281" t="e">
        <f t="shared" si="2"/>
        <v>#REF!</v>
      </c>
    </row>
    <row r="8" spans="1:9" ht="15" x14ac:dyDescent="0.4">
      <c r="A8" s="203" t="s">
        <v>386</v>
      </c>
      <c r="B8" s="203" t="s">
        <v>380</v>
      </c>
      <c r="C8" s="203" t="s">
        <v>385</v>
      </c>
      <c r="D8" s="278">
        <v>2913.0749999999994</v>
      </c>
      <c r="E8" s="279">
        <f t="shared" si="0"/>
        <v>8.4745762711864403E-2</v>
      </c>
      <c r="F8" s="281" t="e">
        <f>'CUADRO DE INGRESOS AÑO 1'!#REF!</f>
        <v>#REF!</v>
      </c>
      <c r="G8" s="282" t="e">
        <f t="shared" si="1"/>
        <v>#REF!</v>
      </c>
      <c r="H8" s="281" t="e">
        <f>'COSTOS DE PRODUCCIÓN'!#REF!</f>
        <v>#REF!</v>
      </c>
      <c r="I8" s="281" t="e">
        <f t="shared" si="2"/>
        <v>#REF!</v>
      </c>
    </row>
    <row r="9" spans="1:9" ht="15" x14ac:dyDescent="0.4">
      <c r="A9" s="203" t="s">
        <v>386</v>
      </c>
      <c r="B9" s="203" t="s">
        <v>382</v>
      </c>
      <c r="C9" s="203" t="s">
        <v>387</v>
      </c>
      <c r="D9" s="278">
        <v>2330.4599999999996</v>
      </c>
      <c r="E9" s="279">
        <f t="shared" si="0"/>
        <v>6.7796610169491525E-2</v>
      </c>
      <c r="F9" s="281" t="e">
        <f>'CUADRO DE INGRESOS AÑO 1'!#REF!</f>
        <v>#REF!</v>
      </c>
      <c r="G9" s="282" t="e">
        <f t="shared" si="1"/>
        <v>#REF!</v>
      </c>
      <c r="H9" s="281" t="e">
        <f>'COSTOS DE PRODUCCIÓN'!#REF!</f>
        <v>#REF!</v>
      </c>
      <c r="I9" s="281" t="e">
        <f t="shared" si="2"/>
        <v>#REF!</v>
      </c>
    </row>
    <row r="10" spans="1:9" ht="15" x14ac:dyDescent="0.4">
      <c r="A10" s="203" t="s">
        <v>388</v>
      </c>
      <c r="B10" s="203" t="s">
        <v>389</v>
      </c>
      <c r="C10" s="203" t="s">
        <v>390</v>
      </c>
      <c r="D10" s="278">
        <v>2913.0749999999994</v>
      </c>
      <c r="E10" s="279">
        <f t="shared" si="0"/>
        <v>8.4745762711864403E-2</v>
      </c>
      <c r="F10" s="281" t="e">
        <f>'CUADRO DE INGRESOS AÑO 1'!#REF!</f>
        <v>#REF!</v>
      </c>
      <c r="G10" s="282" t="e">
        <f t="shared" si="1"/>
        <v>#REF!</v>
      </c>
      <c r="H10" s="281" t="e">
        <f>'COSTOS DE PRODUCCIÓN'!#REF!</f>
        <v>#REF!</v>
      </c>
      <c r="I10" s="281" t="e">
        <f t="shared" si="2"/>
        <v>#REF!</v>
      </c>
    </row>
    <row r="11" spans="1:9" ht="15" x14ac:dyDescent="0.4">
      <c r="A11" s="203" t="s">
        <v>388</v>
      </c>
      <c r="B11" s="203" t="s">
        <v>389</v>
      </c>
      <c r="C11" s="203" t="s">
        <v>391</v>
      </c>
      <c r="D11" s="278">
        <v>3495.69</v>
      </c>
      <c r="E11" s="279">
        <f t="shared" si="0"/>
        <v>0.10169491525423729</v>
      </c>
      <c r="F11" s="281" t="e">
        <f>'CUADRO DE INGRESOS AÑO 1'!#REF!</f>
        <v>#REF!</v>
      </c>
      <c r="G11" s="282" t="e">
        <f t="shared" si="1"/>
        <v>#REF!</v>
      </c>
      <c r="H11" s="281" t="e">
        <f>'COSTOS DE PRODUCCIÓN'!#REF!</f>
        <v>#REF!</v>
      </c>
      <c r="I11" s="281" t="e">
        <f t="shared" si="2"/>
        <v>#REF!</v>
      </c>
    </row>
    <row r="12" spans="1:9" ht="15" x14ac:dyDescent="0.4">
      <c r="A12" s="203" t="s">
        <v>388</v>
      </c>
      <c r="B12" s="203" t="s">
        <v>389</v>
      </c>
      <c r="C12" s="203" t="s">
        <v>383</v>
      </c>
      <c r="D12" s="278">
        <v>1747.845</v>
      </c>
      <c r="E12" s="279">
        <f t="shared" si="0"/>
        <v>5.0847457627118647E-2</v>
      </c>
      <c r="F12" s="281" t="e">
        <f>'CUADRO DE INGRESOS AÑO 1'!#REF!</f>
        <v>#REF!</v>
      </c>
      <c r="G12" s="282" t="e">
        <f t="shared" si="1"/>
        <v>#REF!</v>
      </c>
      <c r="H12" s="281" t="e">
        <f>'COSTOS DE PRODUCCIÓN'!#REF!</f>
        <v>#REF!</v>
      </c>
      <c r="I12" s="281" t="e">
        <f t="shared" si="2"/>
        <v>#REF!</v>
      </c>
    </row>
    <row r="13" spans="1:9" ht="15" x14ac:dyDescent="0.4">
      <c r="A13" s="203" t="s">
        <v>392</v>
      </c>
      <c r="B13" s="203" t="s">
        <v>382</v>
      </c>
      <c r="C13" s="203" t="s">
        <v>393</v>
      </c>
      <c r="D13" s="278">
        <v>2330.4599999999996</v>
      </c>
      <c r="E13" s="279">
        <f t="shared" si="0"/>
        <v>6.7796610169491525E-2</v>
      </c>
      <c r="F13" s="281" t="e">
        <f>'CUADRO DE INGRESOS AÑO 1'!#REF!</f>
        <v>#REF!</v>
      </c>
      <c r="G13" s="282" t="e">
        <f t="shared" si="1"/>
        <v>#REF!</v>
      </c>
      <c r="H13" s="281" t="e">
        <f>'COSTOS DE PRODUCCIÓN'!#REF!</f>
        <v>#REF!</v>
      </c>
      <c r="I13" s="281" t="e">
        <f t="shared" si="2"/>
        <v>#REF!</v>
      </c>
    </row>
    <row r="14" spans="1:9" ht="15" x14ac:dyDescent="0.4">
      <c r="A14" s="203" t="s">
        <v>392</v>
      </c>
      <c r="B14" s="203" t="s">
        <v>382</v>
      </c>
      <c r="C14" s="203" t="s">
        <v>387</v>
      </c>
      <c r="D14" s="278">
        <v>1747.845</v>
      </c>
      <c r="E14" s="279">
        <f t="shared" si="0"/>
        <v>5.0847457627118647E-2</v>
      </c>
      <c r="F14" s="281" t="e">
        <f>'CUADRO DE INGRESOS AÑO 1'!#REF!</f>
        <v>#REF!</v>
      </c>
      <c r="G14" s="282" t="e">
        <f t="shared" si="1"/>
        <v>#REF!</v>
      </c>
      <c r="H14" s="281" t="e">
        <f>'COSTOS DE PRODUCCIÓN'!#REF!</f>
        <v>#REF!</v>
      </c>
      <c r="I14" s="281" t="e">
        <f t="shared" si="2"/>
        <v>#REF!</v>
      </c>
    </row>
    <row r="15" spans="1:9" ht="15" x14ac:dyDescent="0.4">
      <c r="A15" s="203" t="s">
        <v>392</v>
      </c>
      <c r="B15" s="203" t="s">
        <v>382</v>
      </c>
      <c r="C15" s="203" t="s">
        <v>385</v>
      </c>
      <c r="D15" s="278">
        <v>1165.2299999999998</v>
      </c>
      <c r="E15" s="279">
        <f t="shared" si="0"/>
        <v>3.3898305084745763E-2</v>
      </c>
      <c r="F15" s="281" t="e">
        <f>'CUADRO DE INGRESOS AÑO 1'!#REF!</f>
        <v>#REF!</v>
      </c>
      <c r="G15" s="282" t="e">
        <f t="shared" si="1"/>
        <v>#REF!</v>
      </c>
      <c r="H15" s="281" t="e">
        <f>'COSTOS DE PRODUCCIÓN'!#REF!</f>
        <v>#REF!</v>
      </c>
      <c r="I15" s="281" t="e">
        <f t="shared" si="2"/>
        <v>#REF!</v>
      </c>
    </row>
    <row r="16" spans="1:9" ht="15" x14ac:dyDescent="0.4">
      <c r="A16" s="203" t="s">
        <v>337</v>
      </c>
      <c r="B16" s="203" t="s">
        <v>394</v>
      </c>
      <c r="C16" s="203" t="s">
        <v>395</v>
      </c>
      <c r="D16" s="278">
        <v>582.6149999999999</v>
      </c>
      <c r="E16" s="279">
        <f t="shared" si="0"/>
        <v>1.6949152542372881E-2</v>
      </c>
      <c r="F16" s="281" t="e">
        <f>'CUADRO DE INGRESOS AÑO 1'!#REF!</f>
        <v>#REF!</v>
      </c>
      <c r="G16" s="282" t="e">
        <f t="shared" si="1"/>
        <v>#REF!</v>
      </c>
      <c r="H16" s="281" t="e">
        <f>'COSTOS DE PRODUCCIÓN'!#REF!</f>
        <v>#REF!</v>
      </c>
      <c r="I16" s="281" t="e">
        <f t="shared" si="2"/>
        <v>#REF!</v>
      </c>
    </row>
    <row r="17" spans="1:9" ht="15" x14ac:dyDescent="0.4">
      <c r="A17" s="203" t="s">
        <v>337</v>
      </c>
      <c r="B17" s="203" t="s">
        <v>394</v>
      </c>
      <c r="C17" s="203" t="s">
        <v>385</v>
      </c>
      <c r="D17" s="278">
        <v>2330.4599999999996</v>
      </c>
      <c r="E17" s="279">
        <f t="shared" si="0"/>
        <v>6.7796610169491525E-2</v>
      </c>
      <c r="F17" s="281" t="e">
        <f>'CUADRO DE INGRESOS AÑO 1'!#REF!</f>
        <v>#REF!</v>
      </c>
      <c r="G17" s="282" t="e">
        <f t="shared" si="1"/>
        <v>#REF!</v>
      </c>
      <c r="H17" s="281" t="e">
        <f>'COSTOS DE PRODUCCIÓN'!#REF!</f>
        <v>#REF!</v>
      </c>
      <c r="I17" s="281" t="e">
        <f t="shared" si="2"/>
        <v>#REF!</v>
      </c>
    </row>
    <row r="18" spans="1:9" ht="15" x14ac:dyDescent="0.4">
      <c r="A18" s="203" t="s">
        <v>337</v>
      </c>
      <c r="B18" s="203" t="s">
        <v>396</v>
      </c>
      <c r="C18" s="203" t="s">
        <v>383</v>
      </c>
      <c r="D18" s="278">
        <v>2913.0749999999994</v>
      </c>
      <c r="E18" s="279">
        <f t="shared" si="0"/>
        <v>8.4745762711864403E-2</v>
      </c>
      <c r="F18" s="281" t="e">
        <f>'CUADRO DE INGRESOS AÑO 1'!#REF!</f>
        <v>#REF!</v>
      </c>
      <c r="G18" s="282" t="e">
        <f t="shared" si="1"/>
        <v>#REF!</v>
      </c>
      <c r="H18" s="281" t="e">
        <f>'COSTOS DE PRODUCCIÓN'!#REF!</f>
        <v>#REF!</v>
      </c>
      <c r="I18" s="281" t="e">
        <f t="shared" si="2"/>
        <v>#REF!</v>
      </c>
    </row>
    <row r="19" spans="1:9" ht="15" x14ac:dyDescent="0.4">
      <c r="A19" s="573" t="s">
        <v>506</v>
      </c>
      <c r="B19" s="573"/>
      <c r="C19" s="276"/>
      <c r="D19" s="277">
        <f>SUM(D4:D18)</f>
        <v>34374.284999999996</v>
      </c>
      <c r="E19" s="280">
        <f t="shared" ref="E19:I19" si="3">SUM(E4:E18)</f>
        <v>0.99999999999999989</v>
      </c>
      <c r="F19" s="277"/>
      <c r="G19" s="291" t="e">
        <f t="shared" si="3"/>
        <v>#REF!</v>
      </c>
      <c r="H19" s="277"/>
      <c r="I19" s="291" t="e">
        <f t="shared" si="3"/>
        <v>#REF!</v>
      </c>
    </row>
  </sheetData>
  <mergeCells count="3">
    <mergeCell ref="A3:B3"/>
    <mergeCell ref="A2:B2"/>
    <mergeCell ref="A19:B19"/>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H24"/>
  <sheetViews>
    <sheetView zoomScale="90" zoomScaleNormal="90" workbookViewId="0">
      <selection activeCell="I19" sqref="I19"/>
    </sheetView>
  </sheetViews>
  <sheetFormatPr baseColWidth="10" defaultRowHeight="14.25" x14ac:dyDescent="0.4"/>
  <cols>
    <col min="2" max="2" width="4.375" customWidth="1"/>
    <col min="3" max="3" width="3.375" customWidth="1"/>
    <col min="4" max="4" width="13" customWidth="1"/>
    <col min="5" max="5" width="15.125" customWidth="1"/>
    <col min="6" max="6" width="13.875" customWidth="1"/>
    <col min="8" max="8" width="16.125" customWidth="1"/>
  </cols>
  <sheetData>
    <row r="1" spans="2:8" ht="14.65" thickBot="1" x14ac:dyDescent="0.45"/>
    <row r="2" spans="2:8" ht="15.4" thickBot="1" x14ac:dyDescent="0.45">
      <c r="B2" s="576" t="s">
        <v>518</v>
      </c>
      <c r="C2" s="577"/>
      <c r="D2" s="577"/>
      <c r="E2" s="577"/>
      <c r="F2" s="578"/>
    </row>
    <row r="3" spans="2:8" ht="18.75" customHeight="1" x14ac:dyDescent="0.45">
      <c r="B3" s="283" t="s">
        <v>509</v>
      </c>
      <c r="C3" s="284" t="s">
        <v>510</v>
      </c>
      <c r="D3" s="579" t="s">
        <v>511</v>
      </c>
      <c r="E3" s="579"/>
      <c r="F3" s="580"/>
    </row>
    <row r="4" spans="2:8" ht="48" customHeight="1" thickBot="1" x14ac:dyDescent="0.5">
      <c r="B4" s="283"/>
      <c r="C4" s="284"/>
      <c r="D4" s="305" t="s">
        <v>512</v>
      </c>
      <c r="E4" s="306" t="s">
        <v>513</v>
      </c>
      <c r="F4" s="307"/>
    </row>
    <row r="5" spans="2:8" ht="15.75" thickBot="1" x14ac:dyDescent="0.5">
      <c r="B5" s="283"/>
      <c r="C5" s="284"/>
      <c r="D5" s="293"/>
      <c r="E5" s="306"/>
      <c r="F5" s="307"/>
      <c r="H5" s="308" t="s">
        <v>508</v>
      </c>
    </row>
    <row r="6" spans="2:8" ht="15.75" thickBot="1" x14ac:dyDescent="0.5">
      <c r="B6" s="283" t="s">
        <v>509</v>
      </c>
      <c r="C6" s="284" t="s">
        <v>510</v>
      </c>
      <c r="D6" s="289">
        <f>COSTOS!C58*12</f>
        <v>31766</v>
      </c>
      <c r="E6" s="289"/>
      <c r="F6" s="290"/>
      <c r="H6" s="303" t="e">
        <f>D9</f>
        <v>#REF!</v>
      </c>
    </row>
    <row r="7" spans="2:8" ht="15.4" x14ac:dyDescent="0.45">
      <c r="B7" s="283"/>
      <c r="C7" s="284"/>
      <c r="D7" s="288" t="e">
        <f>PONDERACIÓN!G19-PONDERACIÓN!I19</f>
        <v>#REF!</v>
      </c>
      <c r="E7" s="288"/>
      <c r="F7" s="292"/>
    </row>
    <row r="8" spans="2:8" ht="15.4" x14ac:dyDescent="0.45">
      <c r="B8" s="283"/>
      <c r="C8" s="284"/>
      <c r="D8" s="284"/>
      <c r="E8" s="284"/>
      <c r="F8" s="285"/>
    </row>
    <row r="9" spans="2:8" ht="15.75" thickBot="1" x14ac:dyDescent="0.5">
      <c r="B9" s="286" t="s">
        <v>509</v>
      </c>
      <c r="C9" s="287" t="s">
        <v>510</v>
      </c>
      <c r="D9" s="574" t="e">
        <f>D6/D7</f>
        <v>#REF!</v>
      </c>
      <c r="E9" s="574"/>
      <c r="F9" s="575"/>
    </row>
    <row r="12" spans="2:8" ht="14.65" thickBot="1" x14ac:dyDescent="0.45"/>
    <row r="13" spans="2:8" ht="15.4" thickBot="1" x14ac:dyDescent="0.45">
      <c r="B13" s="576" t="s">
        <v>519</v>
      </c>
      <c r="C13" s="577"/>
      <c r="D13" s="577"/>
      <c r="E13" s="577"/>
      <c r="F13" s="578"/>
    </row>
    <row r="14" spans="2:8" ht="15.4" x14ac:dyDescent="0.45">
      <c r="B14" s="283" t="s">
        <v>509</v>
      </c>
      <c r="C14" s="284" t="s">
        <v>510</v>
      </c>
      <c r="D14" s="579" t="s">
        <v>511</v>
      </c>
      <c r="E14" s="579"/>
      <c r="F14" s="580"/>
    </row>
    <row r="15" spans="2:8" ht="30" customHeight="1" x14ac:dyDescent="0.45">
      <c r="B15" s="283"/>
      <c r="C15" s="284"/>
      <c r="D15" s="583" t="s">
        <v>516</v>
      </c>
      <c r="E15" s="581" t="s">
        <v>513</v>
      </c>
      <c r="F15" s="582"/>
    </row>
    <row r="16" spans="2:8" ht="15.4" x14ac:dyDescent="0.45">
      <c r="B16" s="283"/>
      <c r="C16" s="284"/>
      <c r="D16" s="583"/>
      <c r="E16" s="586" t="s">
        <v>514</v>
      </c>
      <c r="F16" s="580"/>
    </row>
    <row r="17" spans="2:8" ht="15.4" x14ac:dyDescent="0.45">
      <c r="B17" s="283"/>
      <c r="C17" s="284"/>
      <c r="D17" s="288"/>
      <c r="E17" s="587"/>
      <c r="F17" s="588"/>
    </row>
    <row r="18" spans="2:8" ht="15.4" x14ac:dyDescent="0.45">
      <c r="B18" s="283" t="s">
        <v>509</v>
      </c>
      <c r="C18" s="284" t="s">
        <v>510</v>
      </c>
      <c r="D18" s="584">
        <f>D6</f>
        <v>31766</v>
      </c>
      <c r="E18" s="584"/>
      <c r="F18" s="585"/>
    </row>
    <row r="19" spans="2:8" ht="15.75" thickBot="1" x14ac:dyDescent="0.5">
      <c r="B19" s="283"/>
      <c r="C19" s="284"/>
      <c r="D19" s="302"/>
      <c r="E19" s="294" t="s">
        <v>517</v>
      </c>
      <c r="F19" s="295">
        <v>1.71</v>
      </c>
    </row>
    <row r="20" spans="2:8" ht="15.75" thickBot="1" x14ac:dyDescent="0.5">
      <c r="B20" s="283"/>
      <c r="C20" s="284"/>
      <c r="D20" s="302"/>
      <c r="E20" s="296"/>
      <c r="F20" s="297">
        <v>2.17</v>
      </c>
      <c r="H20" s="308" t="s">
        <v>515</v>
      </c>
    </row>
    <row r="21" spans="2:8" ht="15.75" thickBot="1" x14ac:dyDescent="0.5">
      <c r="B21" s="283" t="s">
        <v>509</v>
      </c>
      <c r="C21" s="284" t="s">
        <v>510</v>
      </c>
      <c r="D21" s="298">
        <f>+D18</f>
        <v>31766</v>
      </c>
      <c r="F21" s="299"/>
      <c r="H21" s="304">
        <f>D24</f>
        <v>6733.8064516129025</v>
      </c>
    </row>
    <row r="22" spans="2:8" ht="15.4" x14ac:dyDescent="0.45">
      <c r="B22" s="283"/>
      <c r="C22" s="284"/>
      <c r="D22" s="296">
        <f>1-(F19/F20)</f>
        <v>0.21198156682027647</v>
      </c>
      <c r="F22" s="297"/>
    </row>
    <row r="23" spans="2:8" ht="15.4" x14ac:dyDescent="0.45">
      <c r="B23" s="283"/>
      <c r="C23" s="284"/>
      <c r="D23" s="284"/>
      <c r="E23" s="284"/>
      <c r="F23" s="285"/>
    </row>
    <row r="24" spans="2:8" ht="15.75" thickBot="1" x14ac:dyDescent="0.5">
      <c r="B24" s="286" t="s">
        <v>509</v>
      </c>
      <c r="C24" s="287" t="s">
        <v>510</v>
      </c>
      <c r="D24" s="300">
        <f>+D21*D22</f>
        <v>6733.8064516129025</v>
      </c>
      <c r="E24" s="300"/>
      <c r="F24" s="301"/>
    </row>
  </sheetData>
  <mergeCells count="10">
    <mergeCell ref="D18:F18"/>
    <mergeCell ref="D14:F14"/>
    <mergeCell ref="E16:F16"/>
    <mergeCell ref="E17:F17"/>
    <mergeCell ref="D9:F9"/>
    <mergeCell ref="B13:F13"/>
    <mergeCell ref="D3:F3"/>
    <mergeCell ref="B2:F2"/>
    <mergeCell ref="E15:F15"/>
    <mergeCell ref="D15:D1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9"/>
  <sheetViews>
    <sheetView zoomScale="90" zoomScaleNormal="90" workbookViewId="0">
      <selection activeCell="D17" sqref="D17"/>
    </sheetView>
  </sheetViews>
  <sheetFormatPr baseColWidth="10" defaultRowHeight="14.25" x14ac:dyDescent="0.4"/>
  <cols>
    <col min="1" max="1" width="13.875" customWidth="1"/>
    <col min="2" max="3" width="15" customWidth="1"/>
    <col min="4" max="4" width="12.5" customWidth="1"/>
    <col min="5" max="5" width="14" customWidth="1"/>
  </cols>
  <sheetData>
    <row r="1" spans="1:5" ht="14.65" thickBot="1" x14ac:dyDescent="0.45"/>
    <row r="2" spans="1:5" x14ac:dyDescent="0.4">
      <c r="A2" s="591" t="s">
        <v>1</v>
      </c>
      <c r="B2" s="593" t="s">
        <v>520</v>
      </c>
      <c r="C2" s="593" t="s">
        <v>521</v>
      </c>
      <c r="D2" s="593" t="s">
        <v>522</v>
      </c>
      <c r="E2" s="595" t="s">
        <v>523</v>
      </c>
    </row>
    <row r="3" spans="1:5" ht="14.65" thickBot="1" x14ac:dyDescent="0.45">
      <c r="A3" s="592"/>
      <c r="B3" s="594"/>
      <c r="C3" s="594"/>
      <c r="D3" s="594"/>
      <c r="E3" s="596"/>
    </row>
    <row r="4" spans="1:5" ht="15.4" x14ac:dyDescent="0.45">
      <c r="A4" s="309">
        <v>0</v>
      </c>
      <c r="B4" s="310">
        <v>0</v>
      </c>
      <c r="C4" s="310">
        <v>0</v>
      </c>
      <c r="D4" s="313">
        <f>PE!$D$6</f>
        <v>31766</v>
      </c>
      <c r="E4" s="311">
        <f>SUM(C4:D4)</f>
        <v>31766</v>
      </c>
    </row>
    <row r="5" spans="1:5" ht="15.4" x14ac:dyDescent="0.45">
      <c r="A5" s="312" t="e">
        <f>PE!H6</f>
        <v>#REF!</v>
      </c>
      <c r="B5" s="313">
        <f>'ESTADO DE RESULTADOS'!B6</f>
        <v>30000</v>
      </c>
      <c r="C5" s="313" t="e">
        <f>'ESTADO DE RESULTADOS'!#REF!</f>
        <v>#REF!</v>
      </c>
      <c r="D5" s="313">
        <f>PE!$D$6</f>
        <v>31766</v>
      </c>
      <c r="E5" s="311" t="e">
        <f t="shared" ref="E5:E6" si="0">SUM(C5:D5)</f>
        <v>#REF!</v>
      </c>
    </row>
    <row r="6" spans="1:5" ht="15.75" thickBot="1" x14ac:dyDescent="0.5">
      <c r="A6" s="314" t="e">
        <f>+A5*160%</f>
        <v>#REF!</v>
      </c>
      <c r="B6" s="313">
        <f>'ESTADO DE RESULTADOS'!C6</f>
        <v>34650</v>
      </c>
      <c r="C6" s="313" t="e">
        <f>'ESTADO DE RESULTADOS'!#REF!</f>
        <v>#REF!</v>
      </c>
      <c r="D6" s="313">
        <f>PE!$D$6</f>
        <v>31766</v>
      </c>
      <c r="E6" s="311" t="e">
        <f t="shared" si="0"/>
        <v>#REF!</v>
      </c>
    </row>
    <row r="9" spans="1:5" ht="15" x14ac:dyDescent="0.4">
      <c r="C9" s="589" t="s">
        <v>524</v>
      </c>
      <c r="D9" s="590"/>
      <c r="E9" s="590"/>
    </row>
  </sheetData>
  <mergeCells count="6">
    <mergeCell ref="C9:E9"/>
    <mergeCell ref="A2:A3"/>
    <mergeCell ref="B2:B3"/>
    <mergeCell ref="C2:C3"/>
    <mergeCell ref="D2:D3"/>
    <mergeCell ref="E2:E3"/>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3:C37"/>
  <sheetViews>
    <sheetView zoomScale="50" zoomScaleNormal="50" workbookViewId="0">
      <selection activeCell="A3" sqref="A3:C37"/>
    </sheetView>
  </sheetViews>
  <sheetFormatPr baseColWidth="10" defaultRowHeight="15" x14ac:dyDescent="0.4"/>
  <cols>
    <col min="1" max="1" width="21.25" style="4" customWidth="1"/>
    <col min="2" max="2" width="14.375" style="4" customWidth="1"/>
    <col min="3" max="3" width="19.375" style="4" customWidth="1"/>
    <col min="4" max="16384" width="11" style="4"/>
  </cols>
  <sheetData>
    <row r="3" spans="1:3" x14ac:dyDescent="0.4">
      <c r="A3" s="597" t="s">
        <v>525</v>
      </c>
      <c r="B3" s="597"/>
      <c r="C3" s="597"/>
    </row>
    <row r="4" spans="1:3" x14ac:dyDescent="0.4">
      <c r="A4" s="189" t="s">
        <v>531</v>
      </c>
      <c r="B4" s="598">
        <f>'ESTRUCTURA FINANCIERA'!B9</f>
        <v>208951.49750000003</v>
      </c>
      <c r="C4" s="598"/>
    </row>
    <row r="5" spans="1:3" ht="45" x14ac:dyDescent="0.4">
      <c r="A5" s="189" t="s">
        <v>526</v>
      </c>
      <c r="B5" s="205" t="s">
        <v>527</v>
      </c>
      <c r="C5" s="205" t="s">
        <v>528</v>
      </c>
    </row>
    <row r="6" spans="1:3" x14ac:dyDescent="0.4">
      <c r="A6" s="315">
        <v>1</v>
      </c>
      <c r="B6" s="316">
        <f>TIR!E7</f>
        <v>485385.98</v>
      </c>
      <c r="C6" s="317">
        <f>B6</f>
        <v>485385.98</v>
      </c>
    </row>
    <row r="7" spans="1:3" x14ac:dyDescent="0.4">
      <c r="A7" s="318">
        <v>2</v>
      </c>
      <c r="B7" s="319">
        <f>TIR!F7</f>
        <v>540719.98172000004</v>
      </c>
      <c r="C7" s="316">
        <f>+C6+B7</f>
        <v>1026105.96172</v>
      </c>
    </row>
    <row r="8" spans="1:3" x14ac:dyDescent="0.4">
      <c r="A8" s="318">
        <v>3</v>
      </c>
      <c r="B8" s="316">
        <f>TIR!G7</f>
        <v>602362.05963608006</v>
      </c>
      <c r="C8" s="316">
        <f t="shared" ref="C8:C10" si="0">+C7+B8</f>
        <v>1628468.0213560802</v>
      </c>
    </row>
    <row r="9" spans="1:3" x14ac:dyDescent="0.4">
      <c r="A9" s="318">
        <v>4</v>
      </c>
      <c r="B9" s="316">
        <f>TIR!H7</f>
        <v>671031.33443459321</v>
      </c>
      <c r="C9" s="316">
        <f t="shared" si="0"/>
        <v>2299499.3557906733</v>
      </c>
    </row>
    <row r="10" spans="1:3" x14ac:dyDescent="0.4">
      <c r="A10" s="318">
        <v>5</v>
      </c>
      <c r="B10" s="316">
        <f>TIR!I7</f>
        <v>747528.90656013682</v>
      </c>
      <c r="C10" s="316">
        <f t="shared" si="0"/>
        <v>3047028.2623508102</v>
      </c>
    </row>
    <row r="11" spans="1:3" x14ac:dyDescent="0.4">
      <c r="A11" s="597" t="s">
        <v>532</v>
      </c>
      <c r="B11" s="597"/>
      <c r="C11" s="597"/>
    </row>
    <row r="12" spans="1:3" ht="153.75" customHeight="1" x14ac:dyDescent="0.4">
      <c r="A12" s="335">
        <f>C6</f>
        <v>485385.98</v>
      </c>
      <c r="B12" s="605" t="s">
        <v>548</v>
      </c>
      <c r="C12" s="606"/>
    </row>
    <row r="13" spans="1:3" ht="116.25" customHeight="1" x14ac:dyDescent="0.4">
      <c r="A13" s="336">
        <f>B7</f>
        <v>540719.98172000004</v>
      </c>
      <c r="B13" s="605" t="s">
        <v>550</v>
      </c>
      <c r="C13" s="606"/>
    </row>
    <row r="14" spans="1:3" ht="50.25" customHeight="1" x14ac:dyDescent="0.4">
      <c r="A14" s="320">
        <v>1</v>
      </c>
      <c r="B14" s="605" t="s">
        <v>549</v>
      </c>
      <c r="C14" s="606"/>
    </row>
    <row r="15" spans="1:3" ht="16.5" customHeight="1" x14ac:dyDescent="0.4">
      <c r="A15" s="607" t="s">
        <v>533</v>
      </c>
      <c r="B15" s="608"/>
      <c r="C15" s="609"/>
    </row>
    <row r="16" spans="1:3" x14ac:dyDescent="0.4">
      <c r="A16" s="610"/>
      <c r="B16" s="611"/>
      <c r="C16" s="612"/>
    </row>
    <row r="17" spans="1:3" x14ac:dyDescent="0.4">
      <c r="A17" s="613"/>
      <c r="B17" s="614"/>
      <c r="C17" s="615"/>
    </row>
    <row r="18" spans="1:3" x14ac:dyDescent="0.4">
      <c r="A18" s="613"/>
      <c r="B18" s="614"/>
      <c r="C18" s="615"/>
    </row>
    <row r="19" spans="1:3" x14ac:dyDescent="0.4">
      <c r="A19" s="321" t="s">
        <v>536</v>
      </c>
      <c r="B19" s="322">
        <f>B4</f>
        <v>208951.49750000003</v>
      </c>
      <c r="C19" s="323">
        <v>-485385.98</v>
      </c>
    </row>
    <row r="20" spans="1:3" x14ac:dyDescent="0.4">
      <c r="A20" s="321"/>
      <c r="B20" s="324">
        <f>A13</f>
        <v>540719.98172000004</v>
      </c>
      <c r="C20" s="325" t="s">
        <v>537</v>
      </c>
    </row>
    <row r="21" spans="1:3" x14ac:dyDescent="0.4">
      <c r="A21" s="321"/>
      <c r="B21" s="326"/>
      <c r="C21" s="327"/>
    </row>
    <row r="22" spans="1:3" x14ac:dyDescent="0.4">
      <c r="A22" s="321" t="s">
        <v>536</v>
      </c>
      <c r="B22" s="324">
        <f>((B4-A12)/A13)+1</f>
        <v>0.48876591980071227</v>
      </c>
      <c r="C22" s="327"/>
    </row>
    <row r="23" spans="1:3" x14ac:dyDescent="0.4">
      <c r="A23" s="328"/>
      <c r="B23" s="328"/>
      <c r="C23" s="328"/>
    </row>
    <row r="24" spans="1:3" ht="30" customHeight="1" x14ac:dyDescent="0.4">
      <c r="A24" s="600" t="s">
        <v>534</v>
      </c>
      <c r="B24" s="600"/>
      <c r="C24" s="600"/>
    </row>
    <row r="25" spans="1:3" x14ac:dyDescent="0.4">
      <c r="A25" s="601" t="s">
        <v>529</v>
      </c>
      <c r="B25" s="602"/>
      <c r="C25" s="603"/>
    </row>
    <row r="26" spans="1:3" x14ac:dyDescent="0.4">
      <c r="A26" s="604" t="s">
        <v>538</v>
      </c>
      <c r="B26" s="604"/>
      <c r="C26" s="604"/>
    </row>
    <row r="27" spans="1:3" x14ac:dyDescent="0.4">
      <c r="A27" s="601" t="s">
        <v>530</v>
      </c>
      <c r="B27" s="602"/>
      <c r="C27" s="603"/>
    </row>
    <row r="28" spans="1:3" ht="70.5" customHeight="1" x14ac:dyDescent="0.4">
      <c r="A28" s="616" t="s">
        <v>539</v>
      </c>
      <c r="B28" s="617"/>
      <c r="C28" s="618"/>
    </row>
    <row r="29" spans="1:3" x14ac:dyDescent="0.4">
      <c r="A29" s="206" t="s">
        <v>546</v>
      </c>
      <c r="B29" s="329" t="s">
        <v>547</v>
      </c>
      <c r="C29" s="206"/>
    </row>
    <row r="30" spans="1:3" x14ac:dyDescent="0.4">
      <c r="A30" s="206" t="s">
        <v>540</v>
      </c>
      <c r="B30" s="206">
        <f>0.1*12</f>
        <v>1.2000000000000002</v>
      </c>
      <c r="C30" s="206"/>
    </row>
    <row r="31" spans="1:3" x14ac:dyDescent="0.4">
      <c r="A31" s="206" t="s">
        <v>540</v>
      </c>
      <c r="B31" s="330">
        <f>B30</f>
        <v>1.2000000000000002</v>
      </c>
      <c r="C31" s="206"/>
    </row>
    <row r="32" spans="1:3" x14ac:dyDescent="0.4">
      <c r="A32" s="599" t="s">
        <v>535</v>
      </c>
      <c r="B32" s="599"/>
      <c r="C32" s="599"/>
    </row>
    <row r="33" spans="1:3" ht="174.75" customHeight="1" x14ac:dyDescent="0.4">
      <c r="A33" s="619" t="s">
        <v>541</v>
      </c>
      <c r="B33" s="620"/>
      <c r="C33" s="621"/>
    </row>
    <row r="34" spans="1:3" x14ac:dyDescent="0.4">
      <c r="A34" s="331" t="s">
        <v>543</v>
      </c>
      <c r="B34" s="332" t="s">
        <v>544</v>
      </c>
      <c r="C34" s="333"/>
    </row>
    <row r="35" spans="1:3" x14ac:dyDescent="0.4">
      <c r="A35" s="331" t="s">
        <v>542</v>
      </c>
      <c r="B35" s="334">
        <f>0.2*30</f>
        <v>6</v>
      </c>
      <c r="C35" s="333"/>
    </row>
    <row r="36" spans="1:3" x14ac:dyDescent="0.4">
      <c r="A36" s="331" t="s">
        <v>542</v>
      </c>
      <c r="B36" s="334">
        <f>B35</f>
        <v>6</v>
      </c>
      <c r="C36" s="333"/>
    </row>
    <row r="37" spans="1:3" x14ac:dyDescent="0.4">
      <c r="A37" s="599" t="s">
        <v>545</v>
      </c>
      <c r="B37" s="599"/>
      <c r="C37" s="599"/>
    </row>
  </sheetData>
  <mergeCells count="16">
    <mergeCell ref="A3:C3"/>
    <mergeCell ref="B4:C4"/>
    <mergeCell ref="A11:C11"/>
    <mergeCell ref="A37:C37"/>
    <mergeCell ref="A24:C24"/>
    <mergeCell ref="A25:C25"/>
    <mergeCell ref="A26:C26"/>
    <mergeCell ref="B14:C14"/>
    <mergeCell ref="A15:C15"/>
    <mergeCell ref="A16:C18"/>
    <mergeCell ref="A28:C28"/>
    <mergeCell ref="A33:C33"/>
    <mergeCell ref="B12:C12"/>
    <mergeCell ref="B13:C13"/>
    <mergeCell ref="A27:C27"/>
    <mergeCell ref="A32:C32"/>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F16"/>
  <sheetViews>
    <sheetView tabSelected="1" workbookViewId="0">
      <selection activeCell="G13" sqref="G13"/>
    </sheetView>
  </sheetViews>
  <sheetFormatPr baseColWidth="10" defaultRowHeight="15" x14ac:dyDescent="0.4"/>
  <cols>
    <col min="1" max="1" width="11.125" style="4" bestFit="1" customWidth="1"/>
    <col min="2" max="2" width="15.625" style="4" bestFit="1" customWidth="1"/>
    <col min="3" max="3" width="14" style="4" bestFit="1" customWidth="1"/>
    <col min="4" max="4" width="23.75" style="4" customWidth="1"/>
    <col min="5" max="5" width="20.875" style="4" customWidth="1"/>
    <col min="6" max="6" width="17.625" style="4" customWidth="1"/>
    <col min="7" max="16384" width="11" style="4"/>
  </cols>
  <sheetData>
    <row r="2" spans="1:6" ht="45" customHeight="1" x14ac:dyDescent="0.4">
      <c r="A2" s="597" t="s">
        <v>152</v>
      </c>
      <c r="B2" s="597" t="s">
        <v>231</v>
      </c>
      <c r="C2" s="597" t="s">
        <v>551</v>
      </c>
      <c r="D2" s="205" t="s">
        <v>556</v>
      </c>
      <c r="E2" s="624" t="s">
        <v>552</v>
      </c>
      <c r="F2" s="624" t="s">
        <v>553</v>
      </c>
    </row>
    <row r="3" spans="1:6" ht="27.75" customHeight="1" x14ac:dyDescent="0.4">
      <c r="A3" s="597"/>
      <c r="B3" s="597"/>
      <c r="C3" s="597"/>
      <c r="D3" s="205" t="s">
        <v>555</v>
      </c>
      <c r="E3" s="624"/>
      <c r="F3" s="624"/>
    </row>
    <row r="4" spans="1:6" x14ac:dyDescent="0.4">
      <c r="A4" s="200">
        <v>0</v>
      </c>
      <c r="B4" s="258">
        <v>0</v>
      </c>
      <c r="C4" s="258">
        <v>288734.48532790801</v>
      </c>
      <c r="D4" s="258">
        <f>+(1+11.44%)^0</f>
        <v>1</v>
      </c>
      <c r="E4" s="258">
        <f>+C4*D4</f>
        <v>288734.48532790801</v>
      </c>
      <c r="F4" s="258">
        <f>C4</f>
        <v>288734.48532790801</v>
      </c>
    </row>
    <row r="5" spans="1:6" x14ac:dyDescent="0.4">
      <c r="A5" s="200">
        <v>1</v>
      </c>
      <c r="B5" s="258">
        <f>'TOTAL INGRESOS'!B5</f>
        <v>30000</v>
      </c>
      <c r="C5" s="258">
        <f>'EGRESO FIJO '!B14</f>
        <v>92561.99</v>
      </c>
      <c r="D5" s="258">
        <f>+(1+11.44%)^1</f>
        <v>1.1144000000000001</v>
      </c>
      <c r="E5" s="258">
        <f t="shared" ref="E5:E9" si="0">+C5*D5</f>
        <v>103151.08165600001</v>
      </c>
      <c r="F5" s="258">
        <f>+C5-(C5*D5%)</f>
        <v>91530.479183440009</v>
      </c>
    </row>
    <row r="6" spans="1:6" x14ac:dyDescent="0.4">
      <c r="A6" s="200">
        <v>2</v>
      </c>
      <c r="B6" s="258">
        <f>'TOTAL INGRESOS'!B6</f>
        <v>34650</v>
      </c>
      <c r="C6" s="258">
        <f>'EGRESO FIJO '!C14</f>
        <v>98851.014782000013</v>
      </c>
      <c r="D6" s="258">
        <f>+(1+11.44%)^2</f>
        <v>1.2418873600000002</v>
      </c>
      <c r="E6" s="258">
        <f t="shared" si="0"/>
        <v>122761.82578093899</v>
      </c>
      <c r="F6" s="258">
        <f t="shared" ref="F6:F9" si="1">+C6-(C6*D6%)</f>
        <v>97623.396524190626</v>
      </c>
    </row>
    <row r="7" spans="1:6" x14ac:dyDescent="0.4">
      <c r="A7" s="200">
        <v>3</v>
      </c>
      <c r="B7" s="258">
        <f>'TOTAL INGRESOS'!B7</f>
        <v>44200</v>
      </c>
      <c r="C7" s="258">
        <f>'EGRESO FIJO '!D14</f>
        <v>98990.289808607602</v>
      </c>
      <c r="D7" s="258">
        <f>+(1+11.44%)^3</f>
        <v>1.3839592739840003</v>
      </c>
      <c r="E7" s="258">
        <f t="shared" si="0"/>
        <v>136998.52961498636</v>
      </c>
      <c r="F7" s="258">
        <f t="shared" si="1"/>
        <v>97620.304512457733</v>
      </c>
    </row>
    <row r="8" spans="1:6" x14ac:dyDescent="0.4">
      <c r="A8" s="200">
        <v>4</v>
      </c>
      <c r="B8" s="258">
        <f>'TOTAL INGRESOS'!B8</f>
        <v>50400</v>
      </c>
      <c r="C8" s="258">
        <f>'EGRESO FIJO '!E14</f>
        <v>99158.298470263122</v>
      </c>
      <c r="D8" s="258">
        <f>+(1+11.44%)^4</f>
        <v>1.5422842149277702</v>
      </c>
      <c r="E8" s="258">
        <f t="shared" si="0"/>
        <v>152930.27850978327</v>
      </c>
      <c r="F8" s="258">
        <f t="shared" si="1"/>
        <v>97628.995685165282</v>
      </c>
    </row>
    <row r="9" spans="1:6" x14ac:dyDescent="0.4">
      <c r="A9" s="200">
        <v>5</v>
      </c>
      <c r="B9" s="258">
        <f>'TOTAL INGRESOS'!B9</f>
        <v>58500</v>
      </c>
      <c r="C9" s="258">
        <f>'EGRESO FIJO '!F14</f>
        <v>99298.07533821759</v>
      </c>
      <c r="D9" s="258">
        <f>+(1+11.44%)^5</f>
        <v>1.7187215291155071</v>
      </c>
      <c r="E9" s="258">
        <f t="shared" si="0"/>
        <v>170665.73988352818</v>
      </c>
      <c r="F9" s="258">
        <f t="shared" si="1"/>
        <v>97591.417939382314</v>
      </c>
    </row>
    <row r="10" spans="1:6" x14ac:dyDescent="0.4">
      <c r="A10" s="622"/>
      <c r="B10" s="622"/>
      <c r="C10" s="622"/>
      <c r="D10" s="622"/>
      <c r="E10" s="337">
        <f>SUM(E4:E9)</f>
        <v>975241.94077314495</v>
      </c>
      <c r="F10" s="337">
        <f>SUM(F4:F9)</f>
        <v>770729.07917254395</v>
      </c>
    </row>
    <row r="11" spans="1:6" x14ac:dyDescent="0.4">
      <c r="A11" s="622"/>
      <c r="B11" s="622"/>
      <c r="C11" s="622"/>
      <c r="D11" s="622"/>
      <c r="E11" s="622"/>
      <c r="F11" s="622"/>
    </row>
    <row r="12" spans="1:6" x14ac:dyDescent="0.4">
      <c r="A12" s="622"/>
      <c r="B12" s="622"/>
      <c r="C12" s="622"/>
      <c r="D12" s="622"/>
      <c r="E12" s="622"/>
      <c r="F12" s="622"/>
    </row>
    <row r="13" spans="1:6" x14ac:dyDescent="0.4">
      <c r="A13" s="622"/>
      <c r="B13" s="622"/>
      <c r="C13" s="622"/>
      <c r="D13" s="622"/>
      <c r="E13" s="622"/>
      <c r="F13" s="622"/>
    </row>
    <row r="14" spans="1:6" x14ac:dyDescent="0.4">
      <c r="A14" s="622"/>
      <c r="B14" s="622"/>
      <c r="C14" s="622"/>
      <c r="D14" s="622"/>
      <c r="E14" s="622"/>
      <c r="F14" s="622"/>
    </row>
    <row r="15" spans="1:6" x14ac:dyDescent="0.4">
      <c r="A15" s="622"/>
      <c r="B15" s="622"/>
      <c r="C15" s="622"/>
      <c r="D15" s="622"/>
      <c r="E15" s="622"/>
      <c r="F15" s="622"/>
    </row>
    <row r="16" spans="1:6" x14ac:dyDescent="0.4">
      <c r="A16" s="338" t="s">
        <v>554</v>
      </c>
      <c r="B16" s="623">
        <f>+((E10/AVERAGE(D4:D9))/(F10/AVERAGE(D4:D9)))</f>
        <v>1.2653498708264213</v>
      </c>
      <c r="C16" s="623"/>
      <c r="D16" s="623"/>
      <c r="E16" s="623"/>
      <c r="F16" s="623"/>
    </row>
  </sheetData>
  <mergeCells count="8">
    <mergeCell ref="A10:D10"/>
    <mergeCell ref="A11:F15"/>
    <mergeCell ref="B16:F16"/>
    <mergeCell ref="A2:A3"/>
    <mergeCell ref="B2:B3"/>
    <mergeCell ref="C2:C3"/>
    <mergeCell ref="E2:E3"/>
    <mergeCell ref="F2:F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sheetPr>
  <dimension ref="B2:E13"/>
  <sheetViews>
    <sheetView zoomScaleNormal="100" workbookViewId="0">
      <selection activeCell="C9" sqref="C9"/>
    </sheetView>
  </sheetViews>
  <sheetFormatPr baseColWidth="10" defaultRowHeight="15" x14ac:dyDescent="0.4"/>
  <cols>
    <col min="1" max="1" width="11" style="4"/>
    <col min="2" max="2" width="25" style="4" customWidth="1"/>
    <col min="3" max="3" width="20.625" style="4" customWidth="1"/>
    <col min="4" max="16384" width="11" style="4"/>
  </cols>
  <sheetData>
    <row r="2" spans="2:5" ht="34.5" customHeight="1" x14ac:dyDescent="0.4">
      <c r="B2" s="395" t="s">
        <v>156</v>
      </c>
      <c r="C2" s="395"/>
      <c r="D2" s="141"/>
      <c r="E2" s="141"/>
    </row>
    <row r="4" spans="2:5" x14ac:dyDescent="0.4">
      <c r="B4" s="5" t="s">
        <v>31</v>
      </c>
      <c r="C4" s="5" t="s">
        <v>32</v>
      </c>
    </row>
    <row r="5" spans="2:5" x14ac:dyDescent="0.4">
      <c r="B5" s="63" t="s">
        <v>205</v>
      </c>
      <c r="C5" s="47">
        <v>4000</v>
      </c>
    </row>
    <row r="6" spans="2:5" x14ac:dyDescent="0.4">
      <c r="B6" s="63" t="s">
        <v>61</v>
      </c>
      <c r="C6" s="47">
        <v>500</v>
      </c>
    </row>
    <row r="7" spans="2:5" x14ac:dyDescent="0.4">
      <c r="B7" s="63" t="s">
        <v>62</v>
      </c>
      <c r="C7" s="47">
        <v>1000</v>
      </c>
    </row>
    <row r="8" spans="2:5" ht="30" x14ac:dyDescent="0.4">
      <c r="B8" s="43" t="s">
        <v>197</v>
      </c>
      <c r="C8" s="47">
        <v>1000</v>
      </c>
    </row>
    <row r="9" spans="2:5" ht="30" x14ac:dyDescent="0.4">
      <c r="B9" s="43" t="s">
        <v>333</v>
      </c>
      <c r="C9" s="47">
        <v>500</v>
      </c>
    </row>
    <row r="10" spans="2:5" x14ac:dyDescent="0.4">
      <c r="B10" s="5" t="s">
        <v>33</v>
      </c>
      <c r="C10" s="64">
        <f>SUM(C5:C9)</f>
        <v>7000</v>
      </c>
    </row>
    <row r="12" spans="2:5" x14ac:dyDescent="0.4">
      <c r="B12" s="4" t="s">
        <v>120</v>
      </c>
      <c r="C12" s="269" t="s">
        <v>332</v>
      </c>
    </row>
    <row r="13" spans="2:5" x14ac:dyDescent="0.4">
      <c r="B13" s="4" t="s">
        <v>334</v>
      </c>
      <c r="C13" s="269" t="s">
        <v>335</v>
      </c>
    </row>
  </sheetData>
  <mergeCells count="1">
    <mergeCell ref="B2:C2"/>
  </mergeCells>
  <hyperlinks>
    <hyperlink ref="C12" r:id="rId1" xr:uid="{00000000-0004-0000-0300-000000000000}"/>
    <hyperlink ref="C1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sheetPr>
  <dimension ref="A1:I12"/>
  <sheetViews>
    <sheetView zoomScaleNormal="100" zoomScalePageLayoutView="80" workbookViewId="0">
      <selection activeCell="E5" sqref="E5:I5"/>
    </sheetView>
  </sheetViews>
  <sheetFormatPr baseColWidth="10" defaultRowHeight="15" x14ac:dyDescent="0.4"/>
  <cols>
    <col min="1" max="1" width="25.375" style="4" customWidth="1"/>
    <col min="2" max="2" width="12.375" style="4" customWidth="1"/>
    <col min="3" max="3" width="19" style="4" customWidth="1"/>
    <col min="4" max="4" width="16.375" style="4" customWidth="1"/>
    <col min="5" max="9" width="8.375" style="4" customWidth="1"/>
    <col min="10" max="16384" width="11" style="4"/>
  </cols>
  <sheetData>
    <row r="1" spans="1:9" ht="9" customHeight="1" thickBot="1" x14ac:dyDescent="0.45"/>
    <row r="2" spans="1:9" ht="34.5" customHeight="1" thickBot="1" x14ac:dyDescent="0.45">
      <c r="A2" s="396" t="s">
        <v>157</v>
      </c>
      <c r="B2" s="397"/>
      <c r="C2" s="397"/>
      <c r="D2" s="397"/>
      <c r="E2" s="397"/>
      <c r="F2" s="397"/>
      <c r="G2" s="397"/>
      <c r="H2" s="397"/>
      <c r="I2" s="398"/>
    </row>
    <row r="4" spans="1:9" ht="15" customHeight="1" thickBot="1" x14ac:dyDescent="0.45"/>
    <row r="5" spans="1:9" ht="33" customHeight="1" x14ac:dyDescent="0.4">
      <c r="A5" s="401" t="s">
        <v>34</v>
      </c>
      <c r="B5" s="393" t="s">
        <v>35</v>
      </c>
      <c r="C5" s="393" t="s">
        <v>36</v>
      </c>
      <c r="D5" s="393" t="s">
        <v>37</v>
      </c>
      <c r="E5" s="399" t="s">
        <v>38</v>
      </c>
      <c r="F5" s="399"/>
      <c r="G5" s="399"/>
      <c r="H5" s="399"/>
      <c r="I5" s="400"/>
    </row>
    <row r="6" spans="1:9" ht="29.25" customHeight="1" x14ac:dyDescent="0.4">
      <c r="A6" s="402"/>
      <c r="B6" s="403"/>
      <c r="C6" s="403"/>
      <c r="D6" s="403"/>
      <c r="E6" s="5" t="s">
        <v>13</v>
      </c>
      <c r="F6" s="5" t="s">
        <v>14</v>
      </c>
      <c r="G6" s="5" t="s">
        <v>15</v>
      </c>
      <c r="H6" s="5" t="s">
        <v>16</v>
      </c>
      <c r="I6" s="67" t="s">
        <v>17</v>
      </c>
    </row>
    <row r="7" spans="1:9" ht="34.5" customHeight="1" x14ac:dyDescent="0.4">
      <c r="A7" s="68" t="str">
        <f>GASTOS!B5</f>
        <v xml:space="preserve">Estudio de factibilidad </v>
      </c>
      <c r="B7" s="170">
        <f>GASTOS!C5</f>
        <v>4000</v>
      </c>
      <c r="C7" s="69">
        <v>0.2</v>
      </c>
      <c r="D7" s="42">
        <v>5</v>
      </c>
      <c r="E7" s="39">
        <f t="shared" ref="E7:E11" si="0">B7*C7</f>
        <v>800</v>
      </c>
      <c r="F7" s="39">
        <f t="shared" ref="F7:F11" si="1">B7*C7</f>
        <v>800</v>
      </c>
      <c r="G7" s="39">
        <f t="shared" ref="G7:G11" si="2">B7*C7</f>
        <v>800</v>
      </c>
      <c r="H7" s="39">
        <f t="shared" ref="H7:H11" si="3">B7*C7</f>
        <v>800</v>
      </c>
      <c r="I7" s="70">
        <f t="shared" ref="I7:I11" si="4">B7*C7</f>
        <v>800</v>
      </c>
    </row>
    <row r="8" spans="1:9" ht="29.25" customHeight="1" x14ac:dyDescent="0.4">
      <c r="A8" s="68" t="str">
        <f>GASTOS!B6</f>
        <v xml:space="preserve">Gastos de constitución </v>
      </c>
      <c r="B8" s="170">
        <f>GASTOS!C6</f>
        <v>500</v>
      </c>
      <c r="C8" s="69">
        <v>0.2</v>
      </c>
      <c r="D8" s="42">
        <v>5</v>
      </c>
      <c r="E8" s="39">
        <f t="shared" si="0"/>
        <v>100</v>
      </c>
      <c r="F8" s="39">
        <f t="shared" si="1"/>
        <v>100</v>
      </c>
      <c r="G8" s="39">
        <f t="shared" si="2"/>
        <v>100</v>
      </c>
      <c r="H8" s="39">
        <f t="shared" si="3"/>
        <v>100</v>
      </c>
      <c r="I8" s="70">
        <f t="shared" si="4"/>
        <v>100</v>
      </c>
    </row>
    <row r="9" spans="1:9" ht="22.5" customHeight="1" x14ac:dyDescent="0.4">
      <c r="A9" s="68" t="str">
        <f>GASTOS!B7</f>
        <v xml:space="preserve">Patentes y marcas </v>
      </c>
      <c r="B9" s="170">
        <f>GASTOS!C7</f>
        <v>1000</v>
      </c>
      <c r="C9" s="69">
        <v>0.2</v>
      </c>
      <c r="D9" s="42">
        <v>5</v>
      </c>
      <c r="E9" s="39">
        <f t="shared" si="0"/>
        <v>200</v>
      </c>
      <c r="F9" s="39">
        <f t="shared" si="1"/>
        <v>200</v>
      </c>
      <c r="G9" s="39">
        <f t="shared" si="2"/>
        <v>200</v>
      </c>
      <c r="H9" s="39">
        <f t="shared" si="3"/>
        <v>200</v>
      </c>
      <c r="I9" s="70">
        <f t="shared" si="4"/>
        <v>200</v>
      </c>
    </row>
    <row r="10" spans="1:9" ht="29.25" customHeight="1" x14ac:dyDescent="0.4">
      <c r="A10" s="68" t="str">
        <f>GASTOS!B8</f>
        <v>Gastos de instalación y puesta en marcha</v>
      </c>
      <c r="B10" s="170">
        <f>GASTOS!C8</f>
        <v>1000</v>
      </c>
      <c r="C10" s="69">
        <v>0.2</v>
      </c>
      <c r="D10" s="42">
        <v>5</v>
      </c>
      <c r="E10" s="39">
        <f t="shared" si="0"/>
        <v>200</v>
      </c>
      <c r="F10" s="39">
        <f t="shared" si="1"/>
        <v>200</v>
      </c>
      <c r="G10" s="39">
        <f t="shared" si="2"/>
        <v>200</v>
      </c>
      <c r="H10" s="39">
        <f t="shared" si="3"/>
        <v>200</v>
      </c>
      <c r="I10" s="70">
        <f t="shared" si="4"/>
        <v>200</v>
      </c>
    </row>
    <row r="11" spans="1:9" ht="30.75" customHeight="1" x14ac:dyDescent="0.4">
      <c r="A11" s="68" t="str">
        <f>GASTOS!B9</f>
        <v>Sistema de Facturación y Contabilidad</v>
      </c>
      <c r="B11" s="170">
        <f>GASTOS!C9</f>
        <v>500</v>
      </c>
      <c r="C11" s="69">
        <v>0.2</v>
      </c>
      <c r="D11" s="42">
        <v>5</v>
      </c>
      <c r="E11" s="39">
        <f t="shared" si="0"/>
        <v>100</v>
      </c>
      <c r="F11" s="39">
        <f t="shared" si="1"/>
        <v>100</v>
      </c>
      <c r="G11" s="39">
        <f t="shared" si="2"/>
        <v>100</v>
      </c>
      <c r="H11" s="39">
        <f t="shared" si="3"/>
        <v>100</v>
      </c>
      <c r="I11" s="70">
        <f t="shared" si="4"/>
        <v>100</v>
      </c>
    </row>
    <row r="12" spans="1:9" ht="18" customHeight="1" thickBot="1" x14ac:dyDescent="0.45">
      <c r="A12" s="71" t="s">
        <v>33</v>
      </c>
      <c r="B12" s="169">
        <f>SUM(B7:B11)</f>
        <v>7000</v>
      </c>
      <c r="C12" s="72"/>
      <c r="D12" s="72"/>
      <c r="E12" s="73">
        <f>SUM(E7:E11)</f>
        <v>1400</v>
      </c>
      <c r="F12" s="73">
        <f>SUM(F7:F11)</f>
        <v>1400</v>
      </c>
      <c r="G12" s="73">
        <f>SUM(G7:G11)</f>
        <v>1400</v>
      </c>
      <c r="H12" s="73">
        <f>SUM(H7:H11)</f>
        <v>1400</v>
      </c>
      <c r="I12" s="73">
        <f>SUM(I7:I11)</f>
        <v>1400</v>
      </c>
    </row>
  </sheetData>
  <mergeCells count="6">
    <mergeCell ref="A2:I2"/>
    <mergeCell ref="E5:I5"/>
    <mergeCell ref="A5:A6"/>
    <mergeCell ref="B5:B6"/>
    <mergeCell ref="C5:C6"/>
    <mergeCell ref="D5:D6"/>
  </mergeCells>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sheetPr>
  <dimension ref="A1:K66"/>
  <sheetViews>
    <sheetView topLeftCell="A43" zoomScale="80" zoomScaleNormal="80" zoomScalePageLayoutView="80" workbookViewId="0">
      <selection activeCell="B47" sqref="B47"/>
    </sheetView>
  </sheetViews>
  <sheetFormatPr baseColWidth="10" defaultRowHeight="15" x14ac:dyDescent="0.4"/>
  <cols>
    <col min="1" max="1" width="33.625" style="1" customWidth="1"/>
    <col min="2" max="2" width="27.625" style="1" customWidth="1"/>
    <col min="3" max="3" width="14.375" style="1" customWidth="1"/>
    <col min="4" max="4" width="22.875" style="1" customWidth="1"/>
    <col min="5" max="5" width="13.125" style="1" customWidth="1"/>
    <col min="6" max="6" width="10.375" style="1" customWidth="1"/>
    <col min="7" max="7" width="23.75" style="1" customWidth="1"/>
    <col min="8" max="8" width="14.625" style="1" customWidth="1"/>
    <col min="9" max="9" width="24.875" style="1" customWidth="1"/>
    <col min="10" max="10" width="20.625" style="1" customWidth="1"/>
    <col min="11" max="11" width="10.375" style="1" customWidth="1"/>
    <col min="12" max="16384" width="11" style="1"/>
  </cols>
  <sheetData>
    <row r="1" spans="1:9" ht="33" customHeight="1" thickBot="1" x14ac:dyDescent="0.45">
      <c r="A1" s="413" t="s">
        <v>158</v>
      </c>
      <c r="B1" s="414"/>
      <c r="C1" s="414"/>
      <c r="D1" s="414"/>
      <c r="E1" s="414"/>
      <c r="F1" s="414"/>
      <c r="G1" s="414"/>
      <c r="H1" s="415"/>
    </row>
    <row r="2" spans="1:9" ht="15.4" thickBot="1" x14ac:dyDescent="0.45"/>
    <row r="3" spans="1:9" ht="15.75" customHeight="1" x14ac:dyDescent="0.4">
      <c r="A3" s="407" t="s">
        <v>336</v>
      </c>
      <c r="B3" s="408"/>
      <c r="C3" s="408"/>
      <c r="D3" s="408"/>
      <c r="E3" s="409"/>
      <c r="F3" s="171"/>
    </row>
    <row r="4" spans="1:9" ht="15" customHeight="1" thickBot="1" x14ac:dyDescent="0.45">
      <c r="A4" s="410"/>
      <c r="B4" s="411"/>
      <c r="C4" s="411"/>
      <c r="D4" s="411"/>
      <c r="E4" s="412"/>
      <c r="F4" s="171"/>
    </row>
    <row r="5" spans="1:9" ht="15.4" thickBot="1" x14ac:dyDescent="0.45"/>
    <row r="6" spans="1:9" ht="12" customHeight="1" x14ac:dyDescent="0.4">
      <c r="A6" s="404" t="s">
        <v>347</v>
      </c>
      <c r="B6" s="405"/>
      <c r="C6" s="405"/>
      <c r="D6" s="405"/>
      <c r="E6" s="406"/>
    </row>
    <row r="7" spans="1:9" x14ac:dyDescent="0.4">
      <c r="A7" s="74" t="s">
        <v>348</v>
      </c>
      <c r="B7" s="74" t="s">
        <v>166</v>
      </c>
      <c r="C7" s="74" t="s">
        <v>349</v>
      </c>
      <c r="D7" s="74" t="s">
        <v>353</v>
      </c>
      <c r="E7" s="74" t="s">
        <v>101</v>
      </c>
      <c r="F7" s="171"/>
    </row>
    <row r="8" spans="1:9" ht="15.75" customHeight="1" x14ac:dyDescent="0.4">
      <c r="A8" s="107"/>
      <c r="B8" s="107"/>
      <c r="C8" s="107"/>
      <c r="D8" s="107"/>
      <c r="E8" s="107"/>
      <c r="F8" s="174"/>
    </row>
    <row r="9" spans="1:9" ht="19.5" customHeight="1" x14ac:dyDescent="0.4">
      <c r="A9" s="63" t="s">
        <v>561</v>
      </c>
      <c r="B9" s="43" t="s">
        <v>576</v>
      </c>
      <c r="C9" s="364">
        <v>1.5E-3</v>
      </c>
      <c r="D9" s="197">
        <v>500</v>
      </c>
      <c r="E9" s="197">
        <f>+C9*D9</f>
        <v>0.75</v>
      </c>
      <c r="H9" s="1" t="s">
        <v>562</v>
      </c>
      <c r="I9" s="1" t="s">
        <v>563</v>
      </c>
    </row>
    <row r="10" spans="1:9" ht="33" customHeight="1" x14ac:dyDescent="0.4">
      <c r="A10" s="63" t="s">
        <v>564</v>
      </c>
      <c r="B10" s="43" t="s">
        <v>575</v>
      </c>
      <c r="C10" s="364">
        <v>5.0000000000000001E-4</v>
      </c>
      <c r="D10" s="197">
        <v>500</v>
      </c>
      <c r="E10" s="197">
        <f t="shared" ref="E10:E15" si="0">+C10*D10</f>
        <v>0.25</v>
      </c>
      <c r="H10" s="1" t="s">
        <v>565</v>
      </c>
      <c r="I10" s="1" t="s">
        <v>566</v>
      </c>
    </row>
    <row r="11" spans="1:9" ht="18.75" customHeight="1" x14ac:dyDescent="0.4">
      <c r="A11" s="63" t="s">
        <v>567</v>
      </c>
      <c r="B11" s="43" t="s">
        <v>574</v>
      </c>
      <c r="C11" s="364">
        <v>1E-3</v>
      </c>
      <c r="D11" s="197">
        <v>500</v>
      </c>
      <c r="E11" s="197">
        <f t="shared" si="0"/>
        <v>0.5</v>
      </c>
      <c r="H11" s="1" t="s">
        <v>568</v>
      </c>
      <c r="I11" s="1" t="s">
        <v>569</v>
      </c>
    </row>
    <row r="12" spans="1:9" ht="21.75" customHeight="1" x14ac:dyDescent="0.4">
      <c r="A12" s="63" t="s">
        <v>570</v>
      </c>
      <c r="B12" s="43" t="s">
        <v>573</v>
      </c>
      <c r="C12" s="364">
        <v>1.5E-3</v>
      </c>
      <c r="D12" s="197">
        <v>500</v>
      </c>
      <c r="E12" s="197">
        <f t="shared" si="0"/>
        <v>0.75</v>
      </c>
      <c r="H12" s="1" t="s">
        <v>571</v>
      </c>
      <c r="I12" s="1" t="s">
        <v>563</v>
      </c>
    </row>
    <row r="13" spans="1:9" ht="22.5" customHeight="1" x14ac:dyDescent="0.4">
      <c r="A13" s="176" t="s">
        <v>580</v>
      </c>
      <c r="B13" s="176" t="s">
        <v>572</v>
      </c>
      <c r="C13" s="364">
        <v>0.2</v>
      </c>
      <c r="D13" s="197">
        <v>500</v>
      </c>
      <c r="E13" s="197">
        <f t="shared" si="0"/>
        <v>100</v>
      </c>
      <c r="F13" s="175"/>
    </row>
    <row r="14" spans="1:9" ht="51.75" customHeight="1" x14ac:dyDescent="0.4">
      <c r="A14" s="176" t="s">
        <v>339</v>
      </c>
      <c r="B14" s="43" t="s">
        <v>340</v>
      </c>
      <c r="C14" s="172">
        <v>25</v>
      </c>
      <c r="D14" s="197">
        <v>1</v>
      </c>
      <c r="E14" s="197">
        <f t="shared" si="0"/>
        <v>25</v>
      </c>
      <c r="F14" s="175"/>
    </row>
    <row r="15" spans="1:9" ht="30.75" customHeight="1" x14ac:dyDescent="0.4">
      <c r="A15" s="176" t="s">
        <v>249</v>
      </c>
      <c r="B15" s="43" t="s">
        <v>378</v>
      </c>
      <c r="C15" s="172">
        <v>30</v>
      </c>
      <c r="D15" s="197">
        <v>1</v>
      </c>
      <c r="E15" s="197">
        <f t="shared" si="0"/>
        <v>30</v>
      </c>
      <c r="F15" s="191"/>
    </row>
    <row r="16" spans="1:9" x14ac:dyDescent="0.4">
      <c r="A16" s="416" t="s">
        <v>103</v>
      </c>
      <c r="B16" s="416"/>
      <c r="C16" s="198">
        <f>SUM(C9:C15)</f>
        <v>55.204499999999996</v>
      </c>
      <c r="D16" s="198">
        <f t="shared" ref="D16" si="1">SUM(D9:D15)</f>
        <v>2502</v>
      </c>
      <c r="E16" s="198">
        <f>SUM(E9:E15)</f>
        <v>157.25</v>
      </c>
      <c r="F16" s="193"/>
      <c r="G16" s="95"/>
    </row>
    <row r="17" spans="1:11" ht="15.4" thickBot="1" x14ac:dyDescent="0.45">
      <c r="A17" s="181"/>
      <c r="B17" s="181"/>
      <c r="C17" s="182"/>
      <c r="D17" s="173"/>
      <c r="E17" s="178"/>
      <c r="F17" s="178"/>
      <c r="G17" s="95"/>
    </row>
    <row r="18" spans="1:11" ht="16.5" customHeight="1" thickBot="1" x14ac:dyDescent="0.45">
      <c r="A18" s="419" t="s">
        <v>350</v>
      </c>
      <c r="B18" s="420"/>
      <c r="C18" s="420"/>
      <c r="D18" s="420"/>
      <c r="E18" s="420"/>
      <c r="F18" s="420"/>
      <c r="G18" s="420"/>
      <c r="H18" s="421"/>
    </row>
    <row r="19" spans="1:11" s="2" customFormat="1" ht="45" x14ac:dyDescent="0.4">
      <c r="A19" s="79" t="s">
        <v>346</v>
      </c>
      <c r="B19" s="190" t="s">
        <v>353</v>
      </c>
      <c r="C19" s="79" t="s">
        <v>361</v>
      </c>
      <c r="D19" s="190" t="s">
        <v>354</v>
      </c>
      <c r="E19" s="79" t="s">
        <v>219</v>
      </c>
      <c r="F19" s="79" t="s">
        <v>345</v>
      </c>
      <c r="G19" s="79" t="s">
        <v>344</v>
      </c>
      <c r="H19" s="79" t="s">
        <v>255</v>
      </c>
    </row>
    <row r="20" spans="1:11" x14ac:dyDescent="0.4">
      <c r="A20" s="43" t="s">
        <v>211</v>
      </c>
      <c r="B20" s="201">
        <v>1</v>
      </c>
      <c r="C20" s="172">
        <v>600</v>
      </c>
      <c r="D20" s="201">
        <f>+B20*C20</f>
        <v>600</v>
      </c>
      <c r="E20" s="99">
        <f t="shared" ref="E20:E35" si="2">D20*$C$38</f>
        <v>66.900000000000006</v>
      </c>
      <c r="F20" s="99">
        <f>$C$39/12</f>
        <v>35.416666666666664</v>
      </c>
      <c r="G20" s="99">
        <f>D20/12</f>
        <v>50</v>
      </c>
      <c r="H20" s="99">
        <f>SUM(D20:G20)</f>
        <v>752.31666666666661</v>
      </c>
    </row>
    <row r="21" spans="1:11" x14ac:dyDescent="0.4">
      <c r="A21" s="43" t="s">
        <v>341</v>
      </c>
      <c r="B21" s="201">
        <v>1</v>
      </c>
      <c r="C21" s="172">
        <v>425</v>
      </c>
      <c r="D21" s="201">
        <f t="shared" ref="D21:D35" si="3">+B21*C21</f>
        <v>425</v>
      </c>
      <c r="E21" s="99">
        <f t="shared" si="2"/>
        <v>47.387500000000003</v>
      </c>
      <c r="F21" s="99">
        <f>$C$39/12</f>
        <v>35.416666666666664</v>
      </c>
      <c r="G21" s="99">
        <f t="shared" ref="G21:G35" si="4">D21/12</f>
        <v>35.416666666666664</v>
      </c>
      <c r="H21" s="99">
        <f t="shared" ref="H21:H35" si="5">SUM(D21:G21)</f>
        <v>543.2208333333333</v>
      </c>
      <c r="I21" s="1" t="s">
        <v>579</v>
      </c>
    </row>
    <row r="22" spans="1:11" x14ac:dyDescent="0.4">
      <c r="A22" s="43" t="s">
        <v>212</v>
      </c>
      <c r="B22" s="201">
        <v>1</v>
      </c>
      <c r="C22" s="172">
        <v>450</v>
      </c>
      <c r="D22" s="201">
        <f t="shared" si="3"/>
        <v>450</v>
      </c>
      <c r="E22" s="99">
        <f t="shared" si="2"/>
        <v>50.175000000000004</v>
      </c>
      <c r="F22" s="99">
        <f>$C$39/12</f>
        <v>35.416666666666664</v>
      </c>
      <c r="G22" s="99">
        <f t="shared" si="4"/>
        <v>37.5</v>
      </c>
      <c r="H22" s="99">
        <f t="shared" si="5"/>
        <v>573.0916666666667</v>
      </c>
      <c r="I22" s="88"/>
    </row>
    <row r="23" spans="1:11" x14ac:dyDescent="0.4">
      <c r="A23" s="43" t="s">
        <v>356</v>
      </c>
      <c r="B23" s="201">
        <v>1</v>
      </c>
      <c r="C23" s="172">
        <v>500</v>
      </c>
      <c r="D23" s="201">
        <f t="shared" si="3"/>
        <v>500</v>
      </c>
      <c r="E23" s="99">
        <f t="shared" si="2"/>
        <v>55.75</v>
      </c>
      <c r="F23" s="99"/>
      <c r="G23" s="99">
        <f t="shared" si="4"/>
        <v>41.666666666666664</v>
      </c>
      <c r="H23" s="99">
        <f t="shared" si="5"/>
        <v>597.41666666666663</v>
      </c>
      <c r="I23" s="4"/>
      <c r="J23" s="4"/>
      <c r="K23" s="4"/>
    </row>
    <row r="24" spans="1:11" x14ac:dyDescent="0.4">
      <c r="A24" s="43" t="s">
        <v>342</v>
      </c>
      <c r="B24" s="201">
        <v>1</v>
      </c>
      <c r="C24" s="172">
        <v>425</v>
      </c>
      <c r="D24" s="201">
        <f t="shared" si="3"/>
        <v>425</v>
      </c>
      <c r="E24" s="99">
        <f t="shared" si="2"/>
        <v>47.387500000000003</v>
      </c>
      <c r="F24" s="99">
        <f>$C$39/12</f>
        <v>35.416666666666664</v>
      </c>
      <c r="G24" s="99">
        <f t="shared" si="4"/>
        <v>35.416666666666664</v>
      </c>
      <c r="H24" s="99">
        <f t="shared" si="5"/>
        <v>543.2208333333333</v>
      </c>
      <c r="I24" s="4"/>
      <c r="J24" s="4"/>
      <c r="K24" s="4"/>
    </row>
    <row r="25" spans="1:11" x14ac:dyDescent="0.4">
      <c r="A25" s="43" t="s">
        <v>357</v>
      </c>
      <c r="B25" s="201">
        <v>1</v>
      </c>
      <c r="C25" s="172">
        <v>500</v>
      </c>
      <c r="D25" s="201">
        <f t="shared" si="3"/>
        <v>500</v>
      </c>
      <c r="E25" s="99">
        <f t="shared" si="2"/>
        <v>55.75</v>
      </c>
      <c r="F25" s="99"/>
      <c r="G25" s="99">
        <f t="shared" si="4"/>
        <v>41.666666666666664</v>
      </c>
      <c r="H25" s="99">
        <f t="shared" si="5"/>
        <v>597.41666666666663</v>
      </c>
      <c r="I25" s="4"/>
      <c r="J25" s="4"/>
      <c r="K25" s="4"/>
    </row>
    <row r="26" spans="1:11" x14ac:dyDescent="0.4">
      <c r="A26" s="43" t="s">
        <v>343</v>
      </c>
      <c r="B26" s="201">
        <v>1</v>
      </c>
      <c r="C26" s="172">
        <v>600</v>
      </c>
      <c r="D26" s="201">
        <f t="shared" si="3"/>
        <v>600</v>
      </c>
      <c r="E26" s="99">
        <f t="shared" si="2"/>
        <v>66.900000000000006</v>
      </c>
      <c r="F26" s="99">
        <f>$C$39/12</f>
        <v>35.416666666666664</v>
      </c>
      <c r="G26" s="99">
        <f t="shared" si="4"/>
        <v>50</v>
      </c>
      <c r="H26" s="99">
        <f t="shared" si="5"/>
        <v>752.31666666666661</v>
      </c>
      <c r="I26" s="4"/>
      <c r="J26" s="4"/>
      <c r="K26" s="4"/>
    </row>
    <row r="27" spans="1:11" ht="15.75" customHeight="1" x14ac:dyDescent="0.4">
      <c r="A27" s="43" t="s">
        <v>213</v>
      </c>
      <c r="B27" s="201">
        <v>1</v>
      </c>
      <c r="C27" s="172">
        <v>500</v>
      </c>
      <c r="D27" s="201">
        <f t="shared" si="3"/>
        <v>500</v>
      </c>
      <c r="E27" s="99">
        <f t="shared" si="2"/>
        <v>55.75</v>
      </c>
      <c r="F27" s="99">
        <f>$C$39/12</f>
        <v>35.416666666666664</v>
      </c>
      <c r="G27" s="99">
        <f t="shared" si="4"/>
        <v>41.666666666666664</v>
      </c>
      <c r="H27" s="99">
        <f t="shared" si="5"/>
        <v>632.83333333333326</v>
      </c>
      <c r="I27" s="4"/>
      <c r="J27" s="4"/>
      <c r="K27" s="4"/>
    </row>
    <row r="28" spans="1:11" ht="18.75" customHeight="1" x14ac:dyDescent="0.4">
      <c r="A28" s="176" t="s">
        <v>577</v>
      </c>
      <c r="B28" s="201">
        <v>1</v>
      </c>
      <c r="C28" s="172">
        <v>600</v>
      </c>
      <c r="D28" s="201">
        <f t="shared" si="3"/>
        <v>600</v>
      </c>
      <c r="E28" s="99">
        <f t="shared" si="2"/>
        <v>66.900000000000006</v>
      </c>
      <c r="F28" s="99"/>
      <c r="G28" s="99">
        <f t="shared" si="4"/>
        <v>50</v>
      </c>
      <c r="H28" s="99">
        <f t="shared" si="5"/>
        <v>716.9</v>
      </c>
      <c r="I28" s="4"/>
      <c r="J28" s="4"/>
      <c r="K28" s="4"/>
    </row>
    <row r="29" spans="1:11" ht="15.75" customHeight="1" x14ac:dyDescent="0.4">
      <c r="A29" s="43" t="s">
        <v>355</v>
      </c>
      <c r="B29" s="201">
        <v>4</v>
      </c>
      <c r="C29" s="172">
        <v>425</v>
      </c>
      <c r="D29" s="201">
        <f t="shared" si="3"/>
        <v>1700</v>
      </c>
      <c r="E29" s="99">
        <f t="shared" si="2"/>
        <v>189.55</v>
      </c>
      <c r="F29" s="99">
        <f>$C$39/12</f>
        <v>35.416666666666664</v>
      </c>
      <c r="G29" s="99">
        <f t="shared" si="4"/>
        <v>141.66666666666666</v>
      </c>
      <c r="H29" s="99">
        <f t="shared" si="5"/>
        <v>2066.6333333333332</v>
      </c>
      <c r="I29" s="4"/>
      <c r="J29" s="4"/>
      <c r="K29" s="4"/>
    </row>
    <row r="30" spans="1:11" ht="15.75" customHeight="1" x14ac:dyDescent="0.4">
      <c r="A30" s="43" t="s">
        <v>362</v>
      </c>
      <c r="B30" s="201">
        <v>2</v>
      </c>
      <c r="C30" s="172">
        <v>425</v>
      </c>
      <c r="D30" s="201">
        <f t="shared" si="3"/>
        <v>850</v>
      </c>
      <c r="E30" s="99">
        <f t="shared" si="2"/>
        <v>94.775000000000006</v>
      </c>
      <c r="F30" s="99"/>
      <c r="G30" s="99">
        <f t="shared" si="4"/>
        <v>70.833333333333329</v>
      </c>
      <c r="H30" s="99"/>
      <c r="I30" s="4"/>
      <c r="J30" s="4"/>
      <c r="K30" s="4"/>
    </row>
    <row r="31" spans="1:11" ht="15.75" customHeight="1" x14ac:dyDescent="0.4">
      <c r="A31" s="43" t="s">
        <v>358</v>
      </c>
      <c r="B31" s="201">
        <v>1</v>
      </c>
      <c r="C31" s="172">
        <v>425</v>
      </c>
      <c r="D31" s="201">
        <f t="shared" si="3"/>
        <v>425</v>
      </c>
      <c r="E31" s="99">
        <f t="shared" si="2"/>
        <v>47.387500000000003</v>
      </c>
      <c r="F31" s="99">
        <f>$C$39/12</f>
        <v>35.416666666666664</v>
      </c>
      <c r="G31" s="99">
        <f t="shared" si="4"/>
        <v>35.416666666666664</v>
      </c>
      <c r="H31" s="99">
        <f t="shared" si="5"/>
        <v>543.2208333333333</v>
      </c>
      <c r="I31" s="4"/>
      <c r="J31" s="4"/>
      <c r="K31" s="4"/>
    </row>
    <row r="32" spans="1:11" x14ac:dyDescent="0.4">
      <c r="A32" s="43" t="s">
        <v>364</v>
      </c>
      <c r="B32" s="201">
        <v>2</v>
      </c>
      <c r="C32" s="172">
        <v>425</v>
      </c>
      <c r="D32" s="201">
        <f t="shared" si="3"/>
        <v>850</v>
      </c>
      <c r="E32" s="99">
        <f t="shared" si="2"/>
        <v>94.775000000000006</v>
      </c>
      <c r="F32" s="99">
        <f>$C$39/12</f>
        <v>35.416666666666664</v>
      </c>
      <c r="G32" s="99">
        <f t="shared" si="4"/>
        <v>70.833333333333329</v>
      </c>
      <c r="H32" s="99">
        <f t="shared" si="5"/>
        <v>1051.0249999999999</v>
      </c>
      <c r="I32" s="4"/>
      <c r="J32" s="4"/>
      <c r="K32" s="4"/>
    </row>
    <row r="33" spans="1:11" ht="15" customHeight="1" x14ac:dyDescent="0.4">
      <c r="A33" s="43" t="s">
        <v>359</v>
      </c>
      <c r="B33" s="201">
        <v>1</v>
      </c>
      <c r="C33" s="172">
        <v>400</v>
      </c>
      <c r="D33" s="201">
        <f t="shared" si="3"/>
        <v>400</v>
      </c>
      <c r="E33" s="99">
        <f t="shared" si="2"/>
        <v>44.6</v>
      </c>
      <c r="F33" s="99">
        <f>$C$39/12</f>
        <v>35.416666666666664</v>
      </c>
      <c r="G33" s="99">
        <f t="shared" si="4"/>
        <v>33.333333333333336</v>
      </c>
      <c r="H33" s="99">
        <f t="shared" si="5"/>
        <v>513.35</v>
      </c>
      <c r="I33" s="4"/>
      <c r="J33" s="4"/>
      <c r="K33" s="4"/>
    </row>
    <row r="34" spans="1:11" ht="15" customHeight="1" x14ac:dyDescent="0.4">
      <c r="A34" s="43" t="s">
        <v>363</v>
      </c>
      <c r="B34" s="201">
        <v>1</v>
      </c>
      <c r="C34" s="172">
        <v>655</v>
      </c>
      <c r="D34" s="201">
        <f t="shared" si="3"/>
        <v>655</v>
      </c>
      <c r="E34" s="99">
        <f t="shared" si="2"/>
        <v>73.032499999999999</v>
      </c>
      <c r="F34" s="99"/>
      <c r="G34" s="99">
        <f t="shared" si="4"/>
        <v>54.583333333333336</v>
      </c>
      <c r="H34" s="99"/>
      <c r="I34" s="4"/>
      <c r="J34" s="4"/>
      <c r="K34" s="4"/>
    </row>
    <row r="35" spans="1:11" ht="15.4" thickBot="1" x14ac:dyDescent="0.45">
      <c r="A35" s="43" t="s">
        <v>360</v>
      </c>
      <c r="B35" s="201">
        <v>1</v>
      </c>
      <c r="C35" s="172">
        <v>425</v>
      </c>
      <c r="D35" s="201">
        <f t="shared" si="3"/>
        <v>425</v>
      </c>
      <c r="E35" s="99">
        <f t="shared" si="2"/>
        <v>47.387500000000003</v>
      </c>
      <c r="F35" s="99">
        <f>$C$39/12</f>
        <v>35.416666666666664</v>
      </c>
      <c r="G35" s="99">
        <f t="shared" si="4"/>
        <v>35.416666666666664</v>
      </c>
      <c r="H35" s="99">
        <f t="shared" si="5"/>
        <v>543.2208333333333</v>
      </c>
      <c r="I35" s="4"/>
      <c r="J35" s="4"/>
      <c r="K35" s="4"/>
    </row>
    <row r="36" spans="1:11" ht="15.4" thickBot="1" x14ac:dyDescent="0.45">
      <c r="A36" s="184" t="s">
        <v>351</v>
      </c>
      <c r="B36" s="339">
        <f t="shared" ref="B36:G36" si="6">SUM(B20:B35)</f>
        <v>21</v>
      </c>
      <c r="C36" s="340">
        <f t="shared" si="6"/>
        <v>7780</v>
      </c>
      <c r="D36" s="341">
        <f t="shared" si="6"/>
        <v>9905</v>
      </c>
      <c r="E36" s="342">
        <f t="shared" si="6"/>
        <v>1104.4075</v>
      </c>
      <c r="F36" s="340">
        <f t="shared" si="6"/>
        <v>389.58333333333337</v>
      </c>
      <c r="G36" s="340">
        <f t="shared" si="6"/>
        <v>825.41666666666674</v>
      </c>
      <c r="H36" s="343">
        <f>SUM(D36:G36)</f>
        <v>12224.407499999999</v>
      </c>
      <c r="I36" s="4"/>
      <c r="J36" s="4"/>
      <c r="K36" s="4"/>
    </row>
    <row r="37" spans="1:11" ht="17.25" customHeight="1" thickBot="1" x14ac:dyDescent="0.45">
      <c r="A37" s="187" t="s">
        <v>352</v>
      </c>
      <c r="B37" s="417">
        <f>SUM(D36:H36)</f>
        <v>24448.814999999999</v>
      </c>
      <c r="C37" s="418"/>
      <c r="D37" s="344"/>
      <c r="E37" s="344"/>
      <c r="F37" s="344"/>
      <c r="G37" s="100"/>
      <c r="H37" s="100"/>
      <c r="I37" s="4"/>
      <c r="J37" s="4"/>
      <c r="K37" s="4"/>
    </row>
    <row r="38" spans="1:11" x14ac:dyDescent="0.4">
      <c r="A38" s="185" t="s">
        <v>179</v>
      </c>
      <c r="B38" s="186"/>
      <c r="C38" s="81">
        <v>0.1115</v>
      </c>
      <c r="D38" s="82"/>
      <c r="E38" s="82"/>
      <c r="F38" s="82"/>
      <c r="G38" s="82"/>
      <c r="I38" s="4"/>
      <c r="J38" s="4"/>
      <c r="K38" s="4"/>
    </row>
    <row r="39" spans="1:11" x14ac:dyDescent="0.4">
      <c r="A39" s="177" t="s">
        <v>578</v>
      </c>
      <c r="B39" s="180"/>
      <c r="C39" s="83">
        <v>425</v>
      </c>
      <c r="D39" s="82"/>
      <c r="E39" s="82"/>
      <c r="F39" s="82"/>
      <c r="G39" s="82"/>
    </row>
    <row r="40" spans="1:11" x14ac:dyDescent="0.4">
      <c r="A40" s="89"/>
      <c r="C40" s="87"/>
    </row>
    <row r="41" spans="1:11" ht="15.75" customHeight="1" x14ac:dyDescent="0.4">
      <c r="A41" s="422" t="s">
        <v>398</v>
      </c>
      <c r="B41" s="423"/>
      <c r="C41" s="423"/>
      <c r="D41" s="194"/>
      <c r="E41" s="174"/>
      <c r="F41" s="174"/>
      <c r="G41" s="105"/>
    </row>
    <row r="42" spans="1:11" ht="15.75" customHeight="1" x14ac:dyDescent="0.4">
      <c r="A42" s="78" t="s">
        <v>102</v>
      </c>
      <c r="B42" s="177" t="s">
        <v>166</v>
      </c>
      <c r="C42" s="177" t="s">
        <v>101</v>
      </c>
      <c r="D42" s="194"/>
      <c r="E42" s="105"/>
      <c r="F42" s="174"/>
      <c r="G42" s="105"/>
    </row>
    <row r="43" spans="1:11" ht="15.75" customHeight="1" x14ac:dyDescent="0.4">
      <c r="A43" s="202" t="s">
        <v>399</v>
      </c>
      <c r="B43" s="179" t="s">
        <v>400</v>
      </c>
      <c r="C43" s="345">
        <f>SUM(D20:D25)+SUM(D30:D35)</f>
        <v>6505</v>
      </c>
      <c r="D43" s="194"/>
      <c r="E43" s="105"/>
      <c r="F43" s="174"/>
      <c r="G43" s="105"/>
    </row>
    <row r="44" spans="1:11" ht="34.5" customHeight="1" x14ac:dyDescent="0.4">
      <c r="A44" s="45" t="s">
        <v>214</v>
      </c>
      <c r="B44" s="75" t="s">
        <v>365</v>
      </c>
      <c r="C44" s="346">
        <f>'DEPRECIACIONES '!E9/12</f>
        <v>1333.3333333333333</v>
      </c>
      <c r="D44" s="195"/>
      <c r="E44" s="105"/>
      <c r="F44" s="191"/>
      <c r="G44" s="105"/>
      <c r="I44" s="90"/>
    </row>
    <row r="45" spans="1:11" ht="21" customHeight="1" x14ac:dyDescent="0.4">
      <c r="A45" s="429" t="s">
        <v>66</v>
      </c>
      <c r="B45" s="75" t="s">
        <v>366</v>
      </c>
      <c r="C45" s="347">
        <f>20*22</f>
        <v>440</v>
      </c>
      <c r="D45" s="195"/>
      <c r="E45" s="105"/>
      <c r="F45" s="192"/>
      <c r="G45" s="105"/>
    </row>
    <row r="46" spans="1:11" ht="30" customHeight="1" x14ac:dyDescent="0.4">
      <c r="A46" s="430"/>
      <c r="B46" s="75" t="s">
        <v>367</v>
      </c>
      <c r="C46" s="347">
        <f>160/3</f>
        <v>53.333333333333336</v>
      </c>
      <c r="D46" s="195"/>
      <c r="E46" s="105"/>
      <c r="F46" s="192"/>
      <c r="G46" s="105"/>
    </row>
    <row r="47" spans="1:11" ht="47.25" customHeight="1" x14ac:dyDescent="0.4">
      <c r="A47" s="431"/>
      <c r="B47" s="75" t="s">
        <v>368</v>
      </c>
      <c r="C47" s="347">
        <f>80/3</f>
        <v>26.666666666666668</v>
      </c>
      <c r="D47" s="195"/>
      <c r="E47" s="105"/>
      <c r="F47" s="192"/>
      <c r="G47" s="105"/>
    </row>
    <row r="48" spans="1:11" ht="34.5" customHeight="1" x14ac:dyDescent="0.4">
      <c r="A48" s="77" t="s">
        <v>218</v>
      </c>
      <c r="B48" s="75" t="s">
        <v>217</v>
      </c>
      <c r="C48" s="346">
        <v>150</v>
      </c>
      <c r="D48" s="195"/>
      <c r="E48" s="105"/>
      <c r="F48" s="191"/>
      <c r="G48" s="105"/>
    </row>
    <row r="49" spans="1:8" ht="15" customHeight="1" x14ac:dyDescent="0.4">
      <c r="A49" s="429" t="s">
        <v>199</v>
      </c>
      <c r="B49" s="75" t="s">
        <v>369</v>
      </c>
      <c r="C49" s="346">
        <v>100</v>
      </c>
      <c r="D49" s="195"/>
      <c r="E49" s="105"/>
      <c r="F49" s="191"/>
      <c r="G49" s="105"/>
    </row>
    <row r="50" spans="1:8" ht="15" customHeight="1" x14ac:dyDescent="0.4">
      <c r="A50" s="430"/>
      <c r="B50" s="75" t="s">
        <v>370</v>
      </c>
      <c r="C50" s="346">
        <v>15</v>
      </c>
      <c r="D50" s="195"/>
      <c r="E50" s="105"/>
      <c r="F50" s="191"/>
      <c r="G50" s="105"/>
    </row>
    <row r="51" spans="1:8" ht="30" x14ac:dyDescent="0.4">
      <c r="A51" s="430"/>
      <c r="B51" s="75" t="s">
        <v>371</v>
      </c>
      <c r="C51" s="346">
        <f>1000/12</f>
        <v>83.333333333333329</v>
      </c>
      <c r="D51" s="195"/>
      <c r="E51" s="105"/>
      <c r="F51" s="191"/>
      <c r="G51" s="105"/>
    </row>
    <row r="52" spans="1:8" ht="33.75" customHeight="1" x14ac:dyDescent="0.4">
      <c r="A52" s="432" t="s">
        <v>64</v>
      </c>
      <c r="B52" s="75" t="s">
        <v>372</v>
      </c>
      <c r="C52" s="346">
        <f>2.85*2</f>
        <v>5.7</v>
      </c>
      <c r="D52" s="195"/>
      <c r="E52" s="105"/>
      <c r="F52" s="191"/>
      <c r="G52" s="105"/>
    </row>
    <row r="53" spans="1:8" ht="30" customHeight="1" x14ac:dyDescent="0.4">
      <c r="A53" s="433"/>
      <c r="B53" s="75" t="s">
        <v>373</v>
      </c>
      <c r="C53" s="346">
        <f>2.5*4</f>
        <v>10</v>
      </c>
      <c r="D53" s="195"/>
      <c r="E53" s="105"/>
      <c r="F53" s="191"/>
      <c r="G53" s="105"/>
    </row>
    <row r="54" spans="1:8" ht="35.25" customHeight="1" x14ac:dyDescent="0.4">
      <c r="A54" s="433"/>
      <c r="B54" s="75" t="s">
        <v>374</v>
      </c>
      <c r="C54" s="346">
        <f>2.4*2</f>
        <v>4.8</v>
      </c>
      <c r="D54" s="195"/>
      <c r="E54" s="105"/>
      <c r="F54" s="191"/>
      <c r="G54" s="105"/>
    </row>
    <row r="55" spans="1:8" ht="30" x14ac:dyDescent="0.4">
      <c r="A55" s="433"/>
      <c r="B55" s="76" t="s">
        <v>376</v>
      </c>
      <c r="C55" s="346">
        <v>300</v>
      </c>
      <c r="D55" s="196"/>
      <c r="E55" s="105"/>
      <c r="F55" s="191"/>
      <c r="G55" s="105"/>
    </row>
    <row r="56" spans="1:8" x14ac:dyDescent="0.4">
      <c r="A56" s="434"/>
      <c r="B56" s="75" t="s">
        <v>377</v>
      </c>
      <c r="C56" s="346">
        <v>25</v>
      </c>
      <c r="D56" s="195"/>
      <c r="E56" s="105"/>
      <c r="F56" s="191"/>
      <c r="G56" s="105"/>
    </row>
    <row r="57" spans="1:8" ht="15.4" thickBot="1" x14ac:dyDescent="0.45">
      <c r="A57" s="92" t="s">
        <v>160</v>
      </c>
      <c r="B57" s="183" t="s">
        <v>215</v>
      </c>
      <c r="C57" s="348">
        <v>100</v>
      </c>
      <c r="D57" s="195"/>
      <c r="E57" s="105"/>
      <c r="F57" s="191"/>
      <c r="G57" s="105"/>
    </row>
    <row r="58" spans="1:8" ht="17.25" customHeight="1" thickBot="1" x14ac:dyDescent="0.45">
      <c r="A58" s="424" t="s">
        <v>375</v>
      </c>
      <c r="B58" s="425"/>
      <c r="C58" s="349">
        <f>SUM(C44:F57)</f>
        <v>2647.1666666666665</v>
      </c>
      <c r="D58" s="174"/>
      <c r="E58" s="105"/>
      <c r="F58" s="193"/>
      <c r="G58" s="105"/>
    </row>
    <row r="59" spans="1:8" s="95" customFormat="1" ht="19.5" customHeight="1" thickBot="1" x14ac:dyDescent="0.45">
      <c r="A59" s="93"/>
      <c r="B59" s="93"/>
      <c r="C59" s="93"/>
      <c r="D59" s="93"/>
      <c r="E59" s="94"/>
      <c r="F59" s="94"/>
      <c r="G59" s="105"/>
    </row>
    <row r="60" spans="1:8" ht="24" customHeight="1" thickBot="1" x14ac:dyDescent="0.45">
      <c r="A60" s="426" t="s">
        <v>250</v>
      </c>
      <c r="B60" s="427"/>
      <c r="C60" s="427"/>
      <c r="D60" s="428"/>
      <c r="E60" s="174"/>
      <c r="F60" s="174"/>
      <c r="G60" s="174"/>
      <c r="H60" s="174"/>
    </row>
    <row r="61" spans="1:8" ht="17.25" customHeight="1" x14ac:dyDescent="0.4">
      <c r="B61" s="96"/>
      <c r="C61" s="97"/>
      <c r="D61" s="97"/>
    </row>
    <row r="62" spans="1:8" ht="30" x14ac:dyDescent="0.4">
      <c r="A62" s="78" t="s">
        <v>133</v>
      </c>
      <c r="B62" s="78" t="s">
        <v>216</v>
      </c>
      <c r="C62" s="78" t="s">
        <v>252</v>
      </c>
      <c r="D62" s="78" t="s">
        <v>581</v>
      </c>
    </row>
    <row r="63" spans="1:8" x14ac:dyDescent="0.4">
      <c r="A63" s="43" t="s">
        <v>159</v>
      </c>
      <c r="B63" s="350">
        <f>E16</f>
        <v>157.25</v>
      </c>
      <c r="C63" s="99">
        <f>+B63/30</f>
        <v>5.2416666666666663</v>
      </c>
      <c r="D63" s="99">
        <f>+C63/500</f>
        <v>1.0483333333333332E-2</v>
      </c>
    </row>
    <row r="64" spans="1:8" x14ac:dyDescent="0.4">
      <c r="A64" s="63" t="s">
        <v>251</v>
      </c>
      <c r="B64" s="350">
        <f>SUM(D26:D29)</f>
        <v>3400</v>
      </c>
      <c r="C64" s="99">
        <f>+B64/30</f>
        <v>113.33333333333333</v>
      </c>
      <c r="D64" s="99">
        <f t="shared" ref="D64:D65" si="7">+C64/500</f>
        <v>0.22666666666666666</v>
      </c>
    </row>
    <row r="65" spans="1:4" x14ac:dyDescent="0.4">
      <c r="A65" s="63" t="s">
        <v>397</v>
      </c>
      <c r="B65" s="350">
        <f>+C58*0.1</f>
        <v>264.71666666666664</v>
      </c>
      <c r="C65" s="99">
        <f>+B65/30</f>
        <v>8.823888888888888</v>
      </c>
      <c r="D65" s="99">
        <f t="shared" si="7"/>
        <v>1.7647777777777776E-2</v>
      </c>
    </row>
    <row r="66" spans="1:4" x14ac:dyDescent="0.4">
      <c r="A66" s="85" t="s">
        <v>33</v>
      </c>
      <c r="B66" s="351">
        <f>SUM(B63:B65)</f>
        <v>3821.9666666666667</v>
      </c>
      <c r="C66" s="198">
        <f>SUM(C63:C65)</f>
        <v>127.39888888888888</v>
      </c>
      <c r="D66" s="198">
        <f>SUM(D63:D65)</f>
        <v>0.25479777777777779</v>
      </c>
    </row>
  </sheetData>
  <mergeCells count="12">
    <mergeCell ref="A41:C41"/>
    <mergeCell ref="A58:B58"/>
    <mergeCell ref="A60:D60"/>
    <mergeCell ref="A45:A47"/>
    <mergeCell ref="A49:A51"/>
    <mergeCell ref="A52:A56"/>
    <mergeCell ref="A6:E6"/>
    <mergeCell ref="A3:E4"/>
    <mergeCell ref="A1:H1"/>
    <mergeCell ref="A16:B16"/>
    <mergeCell ref="B37:C37"/>
    <mergeCell ref="A18:H18"/>
  </mergeCells>
  <pageMargins left="0.25" right="0.25" top="0.75" bottom="0.75" header="0.3" footer="0.3"/>
  <pageSetup orientation="landscape"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2"/>
  <sheetViews>
    <sheetView workbookViewId="0">
      <selection activeCell="C3" sqref="C3"/>
    </sheetView>
  </sheetViews>
  <sheetFormatPr baseColWidth="10" defaultColWidth="46.5" defaultRowHeight="15" x14ac:dyDescent="0.4"/>
  <cols>
    <col min="1" max="1" width="46.5" style="4"/>
    <col min="2" max="2" width="18.5" style="4" customWidth="1"/>
    <col min="3" max="3" width="26.375" style="4" customWidth="1"/>
    <col min="4" max="4" width="47.5" style="4" customWidth="1"/>
    <col min="5" max="16384" width="46.5" style="4"/>
  </cols>
  <sheetData>
    <row r="1" spans="1:4" x14ac:dyDescent="0.4">
      <c r="A1" s="435" t="s">
        <v>403</v>
      </c>
      <c r="B1" s="435"/>
      <c r="C1" s="435"/>
      <c r="D1" s="435"/>
    </row>
    <row r="2" spans="1:4" x14ac:dyDescent="0.4">
      <c r="A2" s="205" t="s">
        <v>189</v>
      </c>
      <c r="B2" s="205" t="s">
        <v>404</v>
      </c>
      <c r="C2" s="205" t="s">
        <v>220</v>
      </c>
      <c r="D2" s="205" t="s">
        <v>405</v>
      </c>
    </row>
    <row r="3" spans="1:4" x14ac:dyDescent="0.4">
      <c r="A3" s="207" t="s">
        <v>406</v>
      </c>
      <c r="B3" s="352">
        <v>70</v>
      </c>
      <c r="C3" s="352">
        <f>B3*12</f>
        <v>840</v>
      </c>
      <c r="D3" s="204" t="s">
        <v>430</v>
      </c>
    </row>
    <row r="4" spans="1:4" ht="30" x14ac:dyDescent="0.4">
      <c r="A4" s="207" t="s">
        <v>407</v>
      </c>
      <c r="B4" s="352"/>
      <c r="C4" s="352">
        <f>SUM(B5:B12)</f>
        <v>49200</v>
      </c>
      <c r="D4" s="204" t="s">
        <v>408</v>
      </c>
    </row>
    <row r="5" spans="1:4" x14ac:dyDescent="0.4">
      <c r="A5" s="204" t="s">
        <v>419</v>
      </c>
      <c r="B5" s="352">
        <f>+COSTOS!D20*12</f>
        <v>7200</v>
      </c>
      <c r="C5" s="352"/>
      <c r="D5" s="204" t="s">
        <v>431</v>
      </c>
    </row>
    <row r="6" spans="1:4" x14ac:dyDescent="0.4">
      <c r="A6" s="204" t="s">
        <v>420</v>
      </c>
      <c r="B6" s="352">
        <f>COSTOS!D22*12</f>
        <v>5400</v>
      </c>
      <c r="C6" s="352"/>
      <c r="D6" s="204" t="s">
        <v>582</v>
      </c>
    </row>
    <row r="7" spans="1:4" ht="30" x14ac:dyDescent="0.4">
      <c r="A7" s="204" t="s">
        <v>421</v>
      </c>
      <c r="B7" s="352">
        <f>+COSTOS!D21*12</f>
        <v>5100</v>
      </c>
      <c r="C7" s="352"/>
      <c r="D7" s="204" t="s">
        <v>583</v>
      </c>
    </row>
    <row r="8" spans="1:4" ht="30" x14ac:dyDescent="0.4">
      <c r="A8" s="204" t="s">
        <v>422</v>
      </c>
      <c r="B8" s="352">
        <f>+COSTOS!D24*12</f>
        <v>5100</v>
      </c>
      <c r="C8" s="352"/>
      <c r="D8" s="204" t="s">
        <v>583</v>
      </c>
    </row>
    <row r="9" spans="1:4" ht="30" x14ac:dyDescent="0.4">
      <c r="A9" s="204" t="s">
        <v>427</v>
      </c>
      <c r="B9" s="352">
        <f>+COSTOS!D25*12</f>
        <v>6000</v>
      </c>
      <c r="C9" s="352"/>
      <c r="D9" s="204" t="s">
        <v>582</v>
      </c>
    </row>
    <row r="10" spans="1:4" x14ac:dyDescent="0.4">
      <c r="A10" s="204" t="s">
        <v>423</v>
      </c>
      <c r="B10" s="352">
        <f>+COSTOS!D31*12</f>
        <v>5100</v>
      </c>
      <c r="C10" s="352"/>
      <c r="D10" s="204" t="s">
        <v>583</v>
      </c>
    </row>
    <row r="11" spans="1:4" ht="30" x14ac:dyDescent="0.4">
      <c r="A11" s="204" t="s">
        <v>424</v>
      </c>
      <c r="B11" s="352">
        <f>+COSTOS!D32*12</f>
        <v>10200</v>
      </c>
      <c r="C11" s="352"/>
      <c r="D11" s="204" t="s">
        <v>584</v>
      </c>
    </row>
    <row r="12" spans="1:4" ht="30" x14ac:dyDescent="0.4">
      <c r="A12" s="204" t="s">
        <v>425</v>
      </c>
      <c r="B12" s="352">
        <f>+COSTOS!D35*12</f>
        <v>5100</v>
      </c>
      <c r="C12" s="352"/>
      <c r="D12" s="204" t="s">
        <v>585</v>
      </c>
    </row>
    <row r="13" spans="1:4" ht="30" x14ac:dyDescent="0.4">
      <c r="A13" s="207" t="s">
        <v>409</v>
      </c>
      <c r="B13" s="352"/>
      <c r="C13" s="352">
        <f>SUM(B14:B18)</f>
        <v>14603.8</v>
      </c>
      <c r="D13" s="204" t="s">
        <v>410</v>
      </c>
    </row>
    <row r="14" spans="1:4" ht="30" x14ac:dyDescent="0.4">
      <c r="A14" s="188" t="s">
        <v>411</v>
      </c>
      <c r="B14" s="352">
        <f>+C4/12</f>
        <v>4100</v>
      </c>
      <c r="C14" s="352"/>
      <c r="D14" s="204" t="s">
        <v>432</v>
      </c>
    </row>
    <row r="15" spans="1:4" ht="36.75" customHeight="1" x14ac:dyDescent="0.4">
      <c r="A15" s="188" t="s">
        <v>412</v>
      </c>
      <c r="B15" s="352">
        <f>386*13</f>
        <v>5018</v>
      </c>
      <c r="C15" s="352"/>
      <c r="D15" s="204" t="s">
        <v>433</v>
      </c>
    </row>
    <row r="16" spans="1:4" ht="33.75" customHeight="1" x14ac:dyDescent="0.4">
      <c r="A16" s="188" t="s">
        <v>413</v>
      </c>
      <c r="B16" s="352">
        <f>+C4*11.15%</f>
        <v>5485.8</v>
      </c>
      <c r="C16" s="352"/>
      <c r="D16" s="204" t="s">
        <v>414</v>
      </c>
    </row>
    <row r="17" spans="1:4" ht="30" x14ac:dyDescent="0.4">
      <c r="A17" s="188" t="s">
        <v>92</v>
      </c>
      <c r="B17" s="352"/>
      <c r="C17" s="352"/>
      <c r="D17" s="204" t="s">
        <v>415</v>
      </c>
    </row>
    <row r="18" spans="1:4" ht="30" x14ac:dyDescent="0.4">
      <c r="A18" s="188" t="s">
        <v>416</v>
      </c>
      <c r="B18" s="352"/>
      <c r="C18" s="352"/>
      <c r="D18" s="204" t="s">
        <v>415</v>
      </c>
    </row>
    <row r="19" spans="1:4" ht="60" x14ac:dyDescent="0.4">
      <c r="A19" s="207" t="s">
        <v>76</v>
      </c>
      <c r="B19" s="352"/>
      <c r="C19" s="352">
        <f>500*4</f>
        <v>2000</v>
      </c>
      <c r="D19" s="204" t="s">
        <v>402</v>
      </c>
    </row>
    <row r="20" spans="1:4" ht="120" customHeight="1" x14ac:dyDescent="0.4">
      <c r="A20" s="207" t="s">
        <v>417</v>
      </c>
      <c r="B20" s="352"/>
      <c r="C20" s="352">
        <f>150*4</f>
        <v>600</v>
      </c>
      <c r="D20" s="204" t="s">
        <v>426</v>
      </c>
    </row>
    <row r="21" spans="1:4" ht="90" x14ac:dyDescent="0.4">
      <c r="A21" s="207" t="s">
        <v>429</v>
      </c>
      <c r="B21" s="352"/>
      <c r="C21" s="352">
        <f>100*4</f>
        <v>400</v>
      </c>
      <c r="D21" s="204" t="s">
        <v>428</v>
      </c>
    </row>
    <row r="22" spans="1:4" x14ac:dyDescent="0.4">
      <c r="A22" s="207" t="s">
        <v>418</v>
      </c>
      <c r="B22" s="352"/>
      <c r="C22" s="353">
        <f>SUM(C3:C21)</f>
        <v>67643.8</v>
      </c>
      <c r="D22" s="188"/>
    </row>
  </sheetData>
  <mergeCells count="1">
    <mergeCell ref="A1:D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sheetPr>
  <dimension ref="B1:D7"/>
  <sheetViews>
    <sheetView zoomScaleNormal="100" workbookViewId="0">
      <selection activeCell="C6" sqref="C6"/>
    </sheetView>
  </sheetViews>
  <sheetFormatPr baseColWidth="10" defaultRowHeight="15" x14ac:dyDescent="0.4"/>
  <cols>
    <col min="1" max="1" width="10.5" style="1" customWidth="1"/>
    <col min="2" max="2" width="33.375" style="1" customWidth="1"/>
    <col min="3" max="3" width="15.75" style="1" customWidth="1"/>
    <col min="4" max="4" width="12.875" style="1" bestFit="1" customWidth="1"/>
    <col min="5" max="16384" width="11" style="1"/>
  </cols>
  <sheetData>
    <row r="1" spans="2:4" ht="15.4" thickBot="1" x14ac:dyDescent="0.45"/>
    <row r="2" spans="2:4" ht="17.25" customHeight="1" thickBot="1" x14ac:dyDescent="0.45">
      <c r="B2" s="373" t="s">
        <v>161</v>
      </c>
      <c r="C2" s="375"/>
    </row>
    <row r="5" spans="2:4" x14ac:dyDescent="0.4">
      <c r="B5" s="416" t="s">
        <v>44</v>
      </c>
      <c r="C5" s="416"/>
    </row>
    <row r="6" spans="2:4" x14ac:dyDescent="0.4">
      <c r="B6" s="63" t="s">
        <v>80</v>
      </c>
      <c r="C6" s="47">
        <f>'GASTOS ADMIN'!C22</f>
        <v>67643.8</v>
      </c>
    </row>
    <row r="7" spans="2:4" x14ac:dyDescent="0.4">
      <c r="B7" s="107" t="s">
        <v>33</v>
      </c>
      <c r="C7" s="111">
        <f>SUM(C6)</f>
        <v>67643.8</v>
      </c>
      <c r="D7" s="100"/>
    </row>
  </sheetData>
  <mergeCells count="2">
    <mergeCell ref="B5:C5"/>
    <mergeCell ref="B2:C2"/>
  </mergeCells>
  <pageMargins left="0.25" right="0.25"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sheetPr>
  <dimension ref="A1:D12"/>
  <sheetViews>
    <sheetView zoomScale="106" zoomScaleNormal="106" workbookViewId="0">
      <selection activeCell="B8" sqref="B8"/>
    </sheetView>
  </sheetViews>
  <sheetFormatPr baseColWidth="10" defaultRowHeight="15" x14ac:dyDescent="0.4"/>
  <cols>
    <col min="1" max="1" width="43.625" style="1" customWidth="1"/>
    <col min="2" max="2" width="13.25" style="3" customWidth="1"/>
    <col min="3" max="3" width="16.75" style="3" customWidth="1"/>
    <col min="4" max="4" width="26.625" style="1" customWidth="1"/>
    <col min="5" max="16384" width="11" style="1"/>
  </cols>
  <sheetData>
    <row r="1" spans="1:4" ht="15.4" thickBot="1" x14ac:dyDescent="0.45"/>
    <row r="2" spans="1:4" ht="27.75" customHeight="1" thickBot="1" x14ac:dyDescent="0.45">
      <c r="A2" s="436" t="s">
        <v>48</v>
      </c>
      <c r="B2" s="437"/>
      <c r="C2" s="437"/>
      <c r="D2" s="438"/>
    </row>
    <row r="3" spans="1:4" ht="24" customHeight="1" x14ac:dyDescent="0.4">
      <c r="A3" s="108"/>
      <c r="B3" s="109"/>
      <c r="C3" s="109"/>
      <c r="D3" s="108"/>
    </row>
    <row r="4" spans="1:4" ht="30" x14ac:dyDescent="0.4">
      <c r="A4" s="78" t="s">
        <v>39</v>
      </c>
      <c r="B4" s="6" t="s">
        <v>40</v>
      </c>
      <c r="C4" s="6" t="s">
        <v>41</v>
      </c>
      <c r="D4" s="78" t="s">
        <v>45</v>
      </c>
    </row>
    <row r="5" spans="1:4" ht="51" customHeight="1" x14ac:dyDescent="0.4">
      <c r="A5" s="106" t="s">
        <v>557</v>
      </c>
      <c r="B5" s="47"/>
      <c r="C5" s="47">
        <f>B6</f>
        <v>60</v>
      </c>
      <c r="D5" s="43" t="s">
        <v>185</v>
      </c>
    </row>
    <row r="6" spans="1:4" ht="35.25" customHeight="1" x14ac:dyDescent="0.4">
      <c r="A6" s="63" t="s">
        <v>221</v>
      </c>
      <c r="B6" s="47">
        <f>5*12</f>
        <v>60</v>
      </c>
      <c r="C6" s="47"/>
      <c r="D6" s="43" t="s">
        <v>222</v>
      </c>
    </row>
    <row r="7" spans="1:4" ht="47.25" customHeight="1" x14ac:dyDescent="0.4">
      <c r="A7" s="110" t="s">
        <v>46</v>
      </c>
      <c r="B7" s="47"/>
      <c r="C7" s="47">
        <f>B8</f>
        <v>3382.1900000000005</v>
      </c>
      <c r="D7" s="43" t="s">
        <v>223</v>
      </c>
    </row>
    <row r="8" spans="1:4" ht="35.25" customHeight="1" x14ac:dyDescent="0.4">
      <c r="A8" s="63" t="s">
        <v>47</v>
      </c>
      <c r="B8" s="47">
        <f>0.05*'GASTO OPERACIONAL ANUAL'!C7</f>
        <v>3382.1900000000005</v>
      </c>
      <c r="C8" s="47"/>
      <c r="D8" s="43" t="s">
        <v>434</v>
      </c>
    </row>
    <row r="9" spans="1:4" x14ac:dyDescent="0.4">
      <c r="A9" s="439" t="s">
        <v>49</v>
      </c>
      <c r="B9" s="440"/>
      <c r="C9" s="64">
        <f>C5+C7</f>
        <v>3442.1900000000005</v>
      </c>
      <c r="D9" s="208"/>
    </row>
    <row r="12" spans="1:4" x14ac:dyDescent="0.4">
      <c r="A12" s="105"/>
    </row>
  </sheetData>
  <mergeCells count="2">
    <mergeCell ref="A2:D2"/>
    <mergeCell ref="A9:B9"/>
  </mergeCells>
  <pageMargins left="0.25" right="0.25"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37</vt:i4>
      </vt:variant>
      <vt:variant>
        <vt:lpstr>Rangos con nombre</vt:lpstr>
      </vt:variant>
      <vt:variant>
        <vt:i4>3</vt:i4>
      </vt:variant>
    </vt:vector>
  </HeadingPairs>
  <TitlesOfParts>
    <vt:vector size="40" baseType="lpstr">
      <vt:lpstr>ACTIVOS</vt:lpstr>
      <vt:lpstr>DEPRECIACIONES </vt:lpstr>
      <vt:lpstr>REAPRECIACIÓN ACTIVOS</vt:lpstr>
      <vt:lpstr>GASTOS</vt:lpstr>
      <vt:lpstr>AMORTIZACIONES</vt:lpstr>
      <vt:lpstr>COSTOS</vt:lpstr>
      <vt:lpstr>GASTOS ADMIN</vt:lpstr>
      <vt:lpstr>GASTO OPERACIONAL ANUAL</vt:lpstr>
      <vt:lpstr>GASTO NO OPERACIONAL </vt:lpstr>
      <vt:lpstr>CAPITAL DE TRABAJO </vt:lpstr>
      <vt:lpstr>INVERSIONES</vt:lpstr>
      <vt:lpstr>DEPRECIACIÓN-ACTIVOS</vt:lpstr>
      <vt:lpstr>CUADRO DE INGRESOS AÑO 1</vt:lpstr>
      <vt:lpstr>CUADRO DE INGRESOS AÑO 2</vt:lpstr>
      <vt:lpstr>CUADRO DE INGRESOS AÑO 3</vt:lpstr>
      <vt:lpstr>CUADRO DE INGRESOS AÑO 4</vt:lpstr>
      <vt:lpstr>CUADRO DE INGRESOS AÑO 5</vt:lpstr>
      <vt:lpstr>TOTAL INGRESOS</vt:lpstr>
      <vt:lpstr>ESPECIFICACIÓN DE COSTOS</vt:lpstr>
      <vt:lpstr>GASTOS ADM-VEN-NO OPER</vt:lpstr>
      <vt:lpstr>GASTOS OPER-NO OPER</vt:lpstr>
      <vt:lpstr>COSTOS DE PRODUCCIÓN</vt:lpstr>
      <vt:lpstr>EGRESO FIJO </vt:lpstr>
      <vt:lpstr>FUENTES Y USO FONDOS EN DÓLARES</vt:lpstr>
      <vt:lpstr>ESTRUCTURA FINANCIERA</vt:lpstr>
      <vt:lpstr>CUOTA FIJA </vt:lpstr>
      <vt:lpstr>ESTADO DE SITUACIÓN INICIAL</vt:lpstr>
      <vt:lpstr>GASTOS FINANCIEROS </vt:lpstr>
      <vt:lpstr>ESTADO DE RESULTADOS</vt:lpstr>
      <vt:lpstr>TMAR</vt:lpstr>
      <vt:lpstr>VAN</vt:lpstr>
      <vt:lpstr>TIR</vt:lpstr>
      <vt:lpstr>PONDERACIÓN</vt:lpstr>
      <vt:lpstr>PE</vt:lpstr>
      <vt:lpstr>PE1</vt:lpstr>
      <vt:lpstr>PRI</vt:lpstr>
      <vt:lpstr>costobenef</vt:lpstr>
      <vt:lpstr>ACTIVOS!Área_de_impresión</vt:lpstr>
      <vt:lpstr>'DEPRECIACIONES '!Área_de_impresión</vt:lpstr>
      <vt:lpstr>'GASTOS ADM-VEN-NO OPER'!Área_de_impresión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Carlos</cp:lastModifiedBy>
  <dcterms:created xsi:type="dcterms:W3CDTF">2016-12-13T14:15:35Z</dcterms:created>
  <dcterms:modified xsi:type="dcterms:W3CDTF">2024-06-27T14:58:23Z</dcterms:modified>
</cp:coreProperties>
</file>