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2024-1S-ABRIL\AGRO2024-1S\QUINTO\MERCADEO\"/>
    </mc:Choice>
  </mc:AlternateContent>
  <xr:revisionPtr revIDLastSave="0" documentId="13_ncr:1_{157D0A0B-3997-48D1-8A85-888304056657}" xr6:coauthVersionLast="47" xr6:coauthVersionMax="47" xr10:uidLastSave="{00000000-0000-0000-0000-000000000000}"/>
  <bookViews>
    <workbookView xWindow="-98" yWindow="-98" windowWidth="19396" windowHeight="11475" activeTab="8" xr2:uid="{A905D438-6B52-4662-8A15-FC0E67F5A835}"/>
  </bookViews>
  <sheets>
    <sheet name="DEMANDA" sheetId="1" r:id="rId1"/>
    <sheet name="VENTAS" sheetId="2" r:id="rId2"/>
    <sheet name="TAB AMOR" sheetId="9" r:id="rId3"/>
    <sheet name="PRESMKT" sheetId="4" r:id="rId4"/>
    <sheet name="PROMO" sheetId="3" r:id="rId5"/>
    <sheet name="DEP" sheetId="10" r:id="rId6"/>
    <sheet name="COST" sheetId="5" r:id="rId7"/>
    <sheet name="FLC" sheetId="6" r:id="rId8"/>
    <sheet name="VAN-TIR" sheetId="7" r:id="rId9"/>
    <sheet name="ACUMUL" sheetId="8" r:id="rId10"/>
  </sheets>
  <externalReferences>
    <externalReference r:id="rId11"/>
  </externalReferences>
  <definedNames>
    <definedName name="_Toc94713693" localSheetId="3">PRESMKT!#REF!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7" l="1"/>
  <c r="P19" i="7"/>
  <c r="R17" i="7"/>
  <c r="P17" i="7"/>
  <c r="D7" i="7"/>
  <c r="I6" i="7"/>
  <c r="J7" i="7"/>
  <c r="J8" i="7"/>
  <c r="J9" i="7"/>
  <c r="J10" i="7"/>
  <c r="J11" i="7"/>
  <c r="J6" i="7"/>
  <c r="J18" i="7"/>
  <c r="D20" i="6"/>
  <c r="C6" i="7"/>
  <c r="E6" i="7"/>
  <c r="E3" i="7"/>
  <c r="S14" i="7"/>
  <c r="H2" i="9"/>
  <c r="C39" i="6"/>
  <c r="C36" i="6"/>
  <c r="E18" i="10"/>
  <c r="C18" i="10"/>
  <c r="F17" i="10"/>
  <c r="F18" i="10" s="1"/>
  <c r="E17" i="10"/>
  <c r="B17" i="10"/>
  <c r="E10" i="10"/>
  <c r="B10" i="10"/>
  <c r="E9" i="10"/>
  <c r="F9" i="10" s="1"/>
  <c r="G9" i="10" s="1"/>
  <c r="J9" i="10"/>
  <c r="B9" i="10"/>
  <c r="B8" i="10"/>
  <c r="D13" i="5"/>
  <c r="D19" i="5" s="1"/>
  <c r="D20" i="5" s="1"/>
  <c r="D28" i="6"/>
  <c r="F14" i="5"/>
  <c r="J2" i="9"/>
  <c r="C5" i="9"/>
  <c r="N2" i="9" s="1"/>
  <c r="L63" i="9"/>
  <c r="L54" i="9"/>
  <c r="C5" i="1"/>
  <c r="C6" i="1"/>
  <c r="C7" i="1"/>
  <c r="C8" i="1"/>
  <c r="C9" i="1"/>
  <c r="C4" i="1"/>
  <c r="B9" i="1"/>
  <c r="Q15" i="7"/>
  <c r="Q17" i="7" s="1"/>
  <c r="C35" i="6"/>
  <c r="H17" i="6"/>
  <c r="G17" i="6"/>
  <c r="F17" i="6"/>
  <c r="E17" i="6"/>
  <c r="D17" i="6"/>
  <c r="H16" i="6"/>
  <c r="G16" i="6"/>
  <c r="F16" i="6"/>
  <c r="E16" i="6"/>
  <c r="D16" i="6"/>
  <c r="H15" i="6"/>
  <c r="G15" i="6"/>
  <c r="F15" i="6"/>
  <c r="E15" i="6"/>
  <c r="D15" i="6"/>
  <c r="D13" i="6"/>
  <c r="E13" i="6" s="1"/>
  <c r="H9" i="6"/>
  <c r="G34" i="6" s="1"/>
  <c r="G9" i="6"/>
  <c r="F34" i="6" s="1"/>
  <c r="F9" i="6"/>
  <c r="E34" i="6" s="1"/>
  <c r="E9" i="6"/>
  <c r="D34" i="6" s="1"/>
  <c r="D9" i="6"/>
  <c r="C34" i="6" s="1"/>
  <c r="D8" i="6"/>
  <c r="E8" i="6" s="1"/>
  <c r="F8" i="6" s="1"/>
  <c r="G8" i="6" s="1"/>
  <c r="H8" i="6" s="1"/>
  <c r="D18" i="5"/>
  <c r="F17" i="5" s="1"/>
  <c r="G16" i="5"/>
  <c r="H16" i="5" s="1"/>
  <c r="I16" i="5" s="1"/>
  <c r="J16" i="5" s="1"/>
  <c r="D15" i="5"/>
  <c r="G15" i="5" s="1"/>
  <c r="J13" i="5"/>
  <c r="I13" i="5"/>
  <c r="H13" i="5"/>
  <c r="G13" i="5"/>
  <c r="H12" i="5"/>
  <c r="I12" i="5" s="1"/>
  <c r="J12" i="5" s="1"/>
  <c r="G12" i="5"/>
  <c r="G11" i="5"/>
  <c r="H11" i="5" s="1"/>
  <c r="I11" i="5" s="1"/>
  <c r="J11" i="5" s="1"/>
  <c r="I10" i="5"/>
  <c r="J10" i="5" s="1"/>
  <c r="H10" i="5"/>
  <c r="G10" i="5"/>
  <c r="J9" i="5"/>
  <c r="I9" i="5"/>
  <c r="H9" i="5"/>
  <c r="G9" i="5"/>
  <c r="D9" i="5"/>
  <c r="D8" i="5"/>
  <c r="F8" i="4"/>
  <c r="H7" i="4"/>
  <c r="F8" i="3"/>
  <c r="G8" i="3" s="1"/>
  <c r="D8" i="3"/>
  <c r="F6" i="3"/>
  <c r="F7" i="3" s="1"/>
  <c r="G7" i="3" s="1"/>
  <c r="D6" i="3"/>
  <c r="D7" i="3" s="1"/>
  <c r="F5" i="3"/>
  <c r="G5" i="3" s="1"/>
  <c r="D5" i="3"/>
  <c r="F4" i="3"/>
  <c r="G4" i="3" s="1"/>
  <c r="D4" i="3"/>
  <c r="F3" i="3"/>
  <c r="G3" i="3" s="1"/>
  <c r="D3" i="3"/>
  <c r="E21" i="2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P14" i="7" l="1"/>
  <c r="G17" i="10"/>
  <c r="G18" i="10" s="1"/>
  <c r="F10" i="10"/>
  <c r="G10" i="10" s="1"/>
  <c r="H10" i="10" s="1"/>
  <c r="I10" i="10" s="1"/>
  <c r="J10" i="10"/>
  <c r="C11" i="10"/>
  <c r="E8" i="10"/>
  <c r="F7" i="5"/>
  <c r="L60" i="9"/>
  <c r="L40" i="9"/>
  <c r="L57" i="9"/>
  <c r="L20" i="9"/>
  <c r="L23" i="9"/>
  <c r="L26" i="9"/>
  <c r="L43" i="9"/>
  <c r="L49" i="9"/>
  <c r="L38" i="9"/>
  <c r="L18" i="9"/>
  <c r="L21" i="9"/>
  <c r="L24" i="9"/>
  <c r="L27" i="9"/>
  <c r="L46" i="9"/>
  <c r="L35" i="9"/>
  <c r="L55" i="9"/>
  <c r="L58" i="9"/>
  <c r="L61" i="9"/>
  <c r="L64" i="9"/>
  <c r="L52" i="9"/>
  <c r="L29" i="9"/>
  <c r="L41" i="9"/>
  <c r="L44" i="9"/>
  <c r="L47" i="9"/>
  <c r="L50" i="9"/>
  <c r="C10" i="9"/>
  <c r="I5" i="9" s="1"/>
  <c r="J5" i="9" s="1"/>
  <c r="L32" i="9"/>
  <c r="L30" i="9"/>
  <c r="L33" i="9"/>
  <c r="L36" i="9"/>
  <c r="L39" i="9"/>
  <c r="L19" i="9"/>
  <c r="L22" i="9"/>
  <c r="L25" i="9"/>
  <c r="L28" i="9"/>
  <c r="L53" i="9"/>
  <c r="L56" i="9"/>
  <c r="L59" i="9"/>
  <c r="L62" i="9"/>
  <c r="L42" i="9"/>
  <c r="L45" i="9"/>
  <c r="L48" i="9"/>
  <c r="L51" i="9"/>
  <c r="L31" i="9"/>
  <c r="L34" i="9"/>
  <c r="L37" i="9"/>
  <c r="P15" i="7"/>
  <c r="F13" i="6"/>
  <c r="D35" i="6"/>
  <c r="H15" i="5"/>
  <c r="G14" i="5"/>
  <c r="G8" i="5"/>
  <c r="G6" i="3"/>
  <c r="H21" i="2"/>
  <c r="G6" i="2"/>
  <c r="G10" i="2"/>
  <c r="G14" i="2"/>
  <c r="G18" i="2"/>
  <c r="G19" i="2"/>
  <c r="G7" i="2"/>
  <c r="G11" i="2"/>
  <c r="G15" i="2"/>
  <c r="G8" i="2"/>
  <c r="G12" i="2"/>
  <c r="G16" i="2"/>
  <c r="G20" i="2"/>
  <c r="G5" i="2"/>
  <c r="G9" i="2"/>
  <c r="G13" i="2"/>
  <c r="G17" i="2"/>
  <c r="S15" i="7" l="1"/>
  <c r="H17" i="10"/>
  <c r="H18" i="10" s="1"/>
  <c r="E11" i="10"/>
  <c r="F8" i="10"/>
  <c r="L7" i="5"/>
  <c r="F20" i="5"/>
  <c r="O52" i="9"/>
  <c r="F13" i="9" s="1"/>
  <c r="O40" i="9"/>
  <c r="F12" i="9" s="1"/>
  <c r="O64" i="9"/>
  <c r="F14" i="9" s="1"/>
  <c r="G13" i="6"/>
  <c r="E35" i="6"/>
  <c r="H14" i="5"/>
  <c r="I15" i="5"/>
  <c r="G7" i="5"/>
  <c r="H8" i="5"/>
  <c r="G21" i="2"/>
  <c r="D17" i="7" l="1"/>
  <c r="I17" i="10"/>
  <c r="I18" i="10" s="1"/>
  <c r="J18" i="10" s="1"/>
  <c r="G8" i="10"/>
  <c r="F11" i="10"/>
  <c r="L13" i="9"/>
  <c r="L8" i="9"/>
  <c r="L5" i="9"/>
  <c r="L12" i="9"/>
  <c r="L15" i="9"/>
  <c r="L14" i="9"/>
  <c r="L11" i="9"/>
  <c r="L7" i="9"/>
  <c r="L6" i="9"/>
  <c r="L16" i="9"/>
  <c r="L9" i="9"/>
  <c r="L17" i="9"/>
  <c r="L10" i="9"/>
  <c r="F35" i="6"/>
  <c r="H13" i="6"/>
  <c r="G35" i="6" s="1"/>
  <c r="H7" i="5"/>
  <c r="I8" i="5"/>
  <c r="I14" i="5"/>
  <c r="J15" i="5"/>
  <c r="J14" i="5" s="1"/>
  <c r="D6" i="7" l="1"/>
  <c r="D11" i="7"/>
  <c r="D8" i="7"/>
  <c r="D10" i="7"/>
  <c r="D9" i="7"/>
  <c r="J23" i="7"/>
  <c r="J24" i="7" s="1"/>
  <c r="O16" i="9"/>
  <c r="F5" i="9" s="1"/>
  <c r="J17" i="10"/>
  <c r="H8" i="10"/>
  <c r="G11" i="10"/>
  <c r="L65" i="9"/>
  <c r="K5" i="9"/>
  <c r="O28" i="9"/>
  <c r="F11" i="9" s="1"/>
  <c r="I7" i="5"/>
  <c r="J8" i="5"/>
  <c r="J7" i="5" s="1"/>
  <c r="I8" i="10" l="1"/>
  <c r="I11" i="10" s="1"/>
  <c r="H11" i="10"/>
  <c r="J11" i="10" s="1"/>
  <c r="F10" i="9"/>
  <c r="F15" i="9" s="1"/>
  <c r="I6" i="9"/>
  <c r="J8" i="10" l="1"/>
  <c r="J6" i="9"/>
  <c r="K6" i="9" l="1"/>
  <c r="I7" i="9" l="1"/>
  <c r="D4" i="6"/>
  <c r="J7" i="9" l="1"/>
  <c r="D5" i="6"/>
  <c r="C28" i="6"/>
  <c r="C29" i="6" s="1"/>
  <c r="D6" i="6"/>
  <c r="E4" i="6"/>
  <c r="K7" i="9" l="1"/>
  <c r="F4" i="6"/>
  <c r="E5" i="6"/>
  <c r="C31" i="6"/>
  <c r="E6" i="5"/>
  <c r="I8" i="9" l="1"/>
  <c r="D31" i="6"/>
  <c r="F5" i="6"/>
  <c r="F6" i="5"/>
  <c r="E19" i="5"/>
  <c r="E6" i="6"/>
  <c r="G4" i="6"/>
  <c r="E28" i="6"/>
  <c r="F6" i="6"/>
  <c r="J8" i="9" l="1"/>
  <c r="F28" i="6"/>
  <c r="H4" i="6"/>
  <c r="G5" i="6"/>
  <c r="E31" i="6"/>
  <c r="K8" i="9" l="1"/>
  <c r="F31" i="6"/>
  <c r="H5" i="6"/>
  <c r="G31" i="6" s="1"/>
  <c r="G28" i="6"/>
  <c r="H6" i="6"/>
  <c r="G6" i="6"/>
  <c r="I9" i="9" l="1"/>
  <c r="J9" i="9" l="1"/>
  <c r="K9" i="9" l="1"/>
  <c r="I10" i="9" l="1"/>
  <c r="J10" i="9" l="1"/>
  <c r="K10" i="9" s="1"/>
  <c r="I11" i="9" s="1"/>
  <c r="J11" i="9" l="1"/>
  <c r="K11" i="9" s="1"/>
  <c r="I12" i="9" s="1"/>
  <c r="J12" i="9" l="1"/>
  <c r="K12" i="9" s="1"/>
  <c r="I13" i="9" s="1"/>
  <c r="J13" i="9" l="1"/>
  <c r="K13" i="9" s="1"/>
  <c r="I14" i="9" s="1"/>
  <c r="J14" i="9" l="1"/>
  <c r="K14" i="9" s="1"/>
  <c r="I15" i="9" s="1"/>
  <c r="J15" i="9" l="1"/>
  <c r="K15" i="9" s="1"/>
  <c r="I16" i="9" s="1"/>
  <c r="D7" i="6"/>
  <c r="C32" i="6" l="1"/>
  <c r="H32" i="6" s="1"/>
  <c r="E7" i="6"/>
  <c r="D10" i="6"/>
  <c r="J16" i="9"/>
  <c r="M16" i="9" s="1"/>
  <c r="D10" i="9" s="1"/>
  <c r="D11" i="6" l="1"/>
  <c r="C33" i="6" s="1"/>
  <c r="C37" i="6" s="1"/>
  <c r="D27" i="6" s="1"/>
  <c r="D29" i="6" s="1"/>
  <c r="F7" i="6"/>
  <c r="D32" i="6"/>
  <c r="E10" i="6"/>
  <c r="K16" i="9"/>
  <c r="N16" i="9" s="1"/>
  <c r="E32" i="6" l="1"/>
  <c r="G7" i="6"/>
  <c r="F10" i="6"/>
  <c r="E11" i="6"/>
  <c r="D33" i="6" s="1"/>
  <c r="D36" i="6" s="1"/>
  <c r="E12" i="6"/>
  <c r="E14" i="6" s="1"/>
  <c r="E18" i="6" s="1"/>
  <c r="D39" i="6" s="1"/>
  <c r="D12" i="6"/>
  <c r="D14" i="6" s="1"/>
  <c r="D18" i="6" s="1"/>
  <c r="D37" i="6"/>
  <c r="E27" i="6" s="1"/>
  <c r="E29" i="6" s="1"/>
  <c r="D5" i="9"/>
  <c r="I17" i="9"/>
  <c r="F11" i="6" l="1"/>
  <c r="E33" i="6" s="1"/>
  <c r="E36" i="6" s="1"/>
  <c r="E37" i="6" s="1"/>
  <c r="F27" i="6" s="1"/>
  <c r="F29" i="6" s="1"/>
  <c r="F12" i="6"/>
  <c r="F14" i="6" s="1"/>
  <c r="F18" i="6" s="1"/>
  <c r="E39" i="6" s="1"/>
  <c r="F32" i="6"/>
  <c r="H7" i="6"/>
  <c r="G10" i="6"/>
  <c r="J17" i="9"/>
  <c r="E10" i="9"/>
  <c r="E5" i="9"/>
  <c r="F37" i="6" l="1"/>
  <c r="G27" i="6" s="1"/>
  <c r="G29" i="6" s="1"/>
  <c r="G32" i="6"/>
  <c r="H10" i="6"/>
  <c r="G11" i="6"/>
  <c r="F33" i="6" s="1"/>
  <c r="F36" i="6" s="1"/>
  <c r="C11" i="9"/>
  <c r="K17" i="9"/>
  <c r="G37" i="6" l="1"/>
  <c r="G12" i="6"/>
  <c r="G14" i="6" s="1"/>
  <c r="G18" i="6" s="1"/>
  <c r="F39" i="6" s="1"/>
  <c r="H11" i="6"/>
  <c r="G33" i="6" s="1"/>
  <c r="G36" i="6" s="1"/>
  <c r="H12" i="6"/>
  <c r="H14" i="6" s="1"/>
  <c r="H18" i="6" s="1"/>
  <c r="G39" i="6" s="1"/>
  <c r="I18" i="9"/>
  <c r="J18" i="9" l="1"/>
  <c r="K18" i="9" l="1"/>
  <c r="C7" i="7"/>
  <c r="I19" i="9" l="1"/>
  <c r="C18" i="6"/>
  <c r="D7" i="8"/>
  <c r="E7" i="8" s="1"/>
  <c r="I7" i="7"/>
  <c r="E7" i="7"/>
  <c r="J19" i="9" l="1"/>
  <c r="D25" i="7"/>
  <c r="F6" i="7"/>
  <c r="F7" i="7" s="1"/>
  <c r="K19" i="9" l="1"/>
  <c r="C6" i="8"/>
  <c r="I20" i="9" l="1"/>
  <c r="J20" i="9" l="1"/>
  <c r="K20" i="9" l="1"/>
  <c r="I21" i="9" l="1"/>
  <c r="J21" i="9" l="1"/>
  <c r="K21" i="9" l="1"/>
  <c r="C8" i="7"/>
  <c r="I22" i="9" l="1"/>
  <c r="I8" i="7"/>
  <c r="E8" i="7"/>
  <c r="J22" i="9" l="1"/>
  <c r="K22" i="9" s="1"/>
  <c r="I23" i="9" s="1"/>
  <c r="F8" i="7"/>
  <c r="J23" i="9" l="1"/>
  <c r="K23" i="9" s="1"/>
  <c r="I24" i="9" s="1"/>
  <c r="D8" i="8"/>
  <c r="E8" i="8" s="1"/>
  <c r="J24" i="9" l="1"/>
  <c r="K24" i="9" s="1"/>
  <c r="I25" i="9" s="1"/>
  <c r="B15" i="8"/>
  <c r="J25" i="9" l="1"/>
  <c r="K25" i="9" s="1"/>
  <c r="I26" i="9" s="1"/>
  <c r="J26" i="9" l="1"/>
  <c r="K26" i="9" s="1"/>
  <c r="I27" i="9" s="1"/>
  <c r="J27" i="9" l="1"/>
  <c r="K27" i="9" s="1"/>
  <c r="I28" i="9" s="1"/>
  <c r="J28" i="9" l="1"/>
  <c r="M28" i="9" s="1"/>
  <c r="D11" i="9" s="1"/>
  <c r="K28" i="9" l="1"/>
  <c r="N28" i="9" l="1"/>
  <c r="E11" i="9" s="1"/>
  <c r="I29" i="9"/>
  <c r="J29" i="9" l="1"/>
  <c r="C12" i="9"/>
  <c r="K29" i="9" l="1"/>
  <c r="I30" i="9" l="1"/>
  <c r="J30" i="9" l="1"/>
  <c r="K30" i="9" l="1"/>
  <c r="I31" i="9" l="1"/>
  <c r="J31" i="9" l="1"/>
  <c r="K31" i="9" l="1"/>
  <c r="I32" i="9" l="1"/>
  <c r="J32" i="9" l="1"/>
  <c r="K32" i="9" l="1"/>
  <c r="I33" i="9" l="1"/>
  <c r="J33" i="9" l="1"/>
  <c r="K33" i="9" l="1"/>
  <c r="I34" i="9" l="1"/>
  <c r="D9" i="8"/>
  <c r="C9" i="7"/>
  <c r="J34" i="9" l="1"/>
  <c r="K34" i="9" s="1"/>
  <c r="I35" i="9" s="1"/>
  <c r="I9" i="7"/>
  <c r="E9" i="7"/>
  <c r="B14" i="8"/>
  <c r="C15" i="8" s="1"/>
  <c r="D15" i="8" s="1"/>
  <c r="E15" i="8" s="1"/>
  <c r="E9" i="8"/>
  <c r="J35" i="9" l="1"/>
  <c r="K35" i="9" s="1"/>
  <c r="I36" i="9" s="1"/>
  <c r="F9" i="7"/>
  <c r="J36" i="9" l="1"/>
  <c r="K36" i="9" s="1"/>
  <c r="I37" i="9" s="1"/>
  <c r="J37" i="9" l="1"/>
  <c r="K37" i="9" s="1"/>
  <c r="I38" i="9" s="1"/>
  <c r="J38" i="9" l="1"/>
  <c r="K38" i="9" s="1"/>
  <c r="I39" i="9" s="1"/>
  <c r="J39" i="9" l="1"/>
  <c r="K39" i="9" s="1"/>
  <c r="I40" i="9" s="1"/>
  <c r="J40" i="9" l="1"/>
  <c r="K40" i="9" l="1"/>
  <c r="M40" i="9"/>
  <c r="D12" i="9" s="1"/>
  <c r="N40" i="9" l="1"/>
  <c r="E12" i="9" s="1"/>
  <c r="I41" i="9"/>
  <c r="J41" i="9" l="1"/>
  <c r="C13" i="9"/>
  <c r="K41" i="9" l="1"/>
  <c r="I42" i="9" l="1"/>
  <c r="J42" i="9" l="1"/>
  <c r="K42" i="9" l="1"/>
  <c r="I43" i="9" l="1"/>
  <c r="J43" i="9" l="1"/>
  <c r="K43" i="9" l="1"/>
  <c r="I44" i="9" l="1"/>
  <c r="J44" i="9" l="1"/>
  <c r="K44" i="9" l="1"/>
  <c r="I45" i="9" l="1"/>
  <c r="J45" i="9" l="1"/>
  <c r="K45" i="9" l="1"/>
  <c r="I46" i="9" l="1"/>
  <c r="J46" i="9" l="1"/>
  <c r="K46" i="9" s="1"/>
  <c r="I47" i="9" s="1"/>
  <c r="J47" i="9" l="1"/>
  <c r="K47" i="9" s="1"/>
  <c r="I48" i="9" s="1"/>
  <c r="J48" i="9" l="1"/>
  <c r="K48" i="9" s="1"/>
  <c r="I49" i="9" s="1"/>
  <c r="J49" i="9" l="1"/>
  <c r="K49" i="9" s="1"/>
  <c r="I50" i="9" s="1"/>
  <c r="J50" i="9" l="1"/>
  <c r="K50" i="9" s="1"/>
  <c r="I51" i="9" s="1"/>
  <c r="J51" i="9" l="1"/>
  <c r="K51" i="9" s="1"/>
  <c r="I52" i="9" s="1"/>
  <c r="J52" i="9" l="1"/>
  <c r="K52" i="9" l="1"/>
  <c r="M52" i="9"/>
  <c r="D13" i="9" s="1"/>
  <c r="C10" i="7"/>
  <c r="N52" i="9" l="1"/>
  <c r="E13" i="9" s="1"/>
  <c r="I53" i="9"/>
  <c r="I10" i="7"/>
  <c r="E10" i="7"/>
  <c r="D10" i="8"/>
  <c r="E10" i="8" s="1"/>
  <c r="J53" i="9" l="1"/>
  <c r="C14" i="9"/>
  <c r="F10" i="7"/>
  <c r="K53" i="9" l="1"/>
  <c r="I54" i="9" l="1"/>
  <c r="J54" i="9" l="1"/>
  <c r="K54" i="9" l="1"/>
  <c r="I55" i="9" l="1"/>
  <c r="J55" i="9" l="1"/>
  <c r="K55" i="9" l="1"/>
  <c r="I56" i="9" l="1"/>
  <c r="J56" i="9" l="1"/>
  <c r="K56" i="9" l="1"/>
  <c r="I57" i="9" l="1"/>
  <c r="J57" i="9" l="1"/>
  <c r="K57" i="9" l="1"/>
  <c r="I58" i="9" l="1"/>
  <c r="J58" i="9" l="1"/>
  <c r="K58" i="9" s="1"/>
  <c r="I59" i="9" s="1"/>
  <c r="J59" i="9" l="1"/>
  <c r="K59" i="9" s="1"/>
  <c r="I60" i="9" s="1"/>
  <c r="J60" i="9" l="1"/>
  <c r="K60" i="9" s="1"/>
  <c r="I61" i="9" s="1"/>
  <c r="J61" i="9" l="1"/>
  <c r="K61" i="9" s="1"/>
  <c r="I62" i="9" s="1"/>
  <c r="J62" i="9" l="1"/>
  <c r="K62" i="9" s="1"/>
  <c r="I63" i="9" s="1"/>
  <c r="J63" i="9" l="1"/>
  <c r="K63" i="9" s="1"/>
  <c r="I64" i="9" s="1"/>
  <c r="J64" i="9" s="1"/>
  <c r="C11" i="7"/>
  <c r="K64" i="9" l="1"/>
  <c r="J65" i="9"/>
  <c r="M64" i="9"/>
  <c r="D14" i="9" s="1"/>
  <c r="D15" i="9" s="1"/>
  <c r="I11" i="7"/>
  <c r="E11" i="7"/>
  <c r="D14" i="7"/>
  <c r="D11" i="8"/>
  <c r="E11" i="8" s="1"/>
  <c r="K65" i="9" l="1"/>
  <c r="N64" i="9"/>
  <c r="E14" i="9" s="1"/>
  <c r="E15" i="9" s="1"/>
  <c r="D24" i="7"/>
  <c r="D27" i="7" s="1"/>
  <c r="E12" i="7"/>
  <c r="F11" i="7"/>
  <c r="K8" i="7"/>
  <c r="K11" i="7"/>
  <c r="K10" i="7"/>
  <c r="K9" i="7"/>
  <c r="K6" i="7"/>
  <c r="L6" i="7" s="1"/>
  <c r="J15" i="7"/>
  <c r="K7" i="7"/>
  <c r="K23" i="7"/>
  <c r="L7" i="7" l="1"/>
  <c r="L8" i="7" s="1"/>
  <c r="L9" i="7" s="1"/>
  <c r="L10" i="7" s="1"/>
  <c r="L11" i="7" s="1"/>
  <c r="K24" i="7" s="1"/>
  <c r="J25" i="7" s="1"/>
</calcChain>
</file>

<file path=xl/sharedStrings.xml><?xml version="1.0" encoding="utf-8"?>
<sst xmlns="http://schemas.openxmlformats.org/spreadsheetml/2006/main" count="189" uniqueCount="144">
  <si>
    <t xml:space="preserve">Productos </t>
  </si>
  <si>
    <t>Demanda en unidades de producto</t>
  </si>
  <si>
    <t>Detergente</t>
  </si>
  <si>
    <t>Amb  autos</t>
  </si>
  <si>
    <t xml:space="preserve">Ambientales </t>
  </si>
  <si>
    <t>Jabon liquido manos</t>
  </si>
  <si>
    <t>Desinfectante para pisos</t>
  </si>
  <si>
    <t xml:space="preserve">Producto </t>
  </si>
  <si>
    <t xml:space="preserve">PRECIO UNITARIO </t>
  </si>
  <si>
    <t xml:space="preserve">PRECIO VENTA PUBLICO </t>
  </si>
  <si>
    <t>Cantidad</t>
  </si>
  <si>
    <t>Ventas</t>
  </si>
  <si>
    <t>Costo</t>
  </si>
  <si>
    <t xml:space="preserve">Desinfectante </t>
  </si>
  <si>
    <t xml:space="preserve">Detergente liquido </t>
  </si>
  <si>
    <t xml:space="preserve">Suavizante de ropa </t>
  </si>
  <si>
    <t xml:space="preserve">Cloro liquido </t>
  </si>
  <si>
    <t>Quita sarro</t>
  </si>
  <si>
    <t>Ambiental</t>
  </si>
  <si>
    <t>Ambiental autos</t>
  </si>
  <si>
    <t>Jabón liquido manos</t>
  </si>
  <si>
    <t>Alcohol potable</t>
  </si>
  <si>
    <t>Limpia vidrios</t>
  </si>
  <si>
    <t>Almoral</t>
  </si>
  <si>
    <t xml:space="preserve">Brillo de llantas </t>
  </si>
  <si>
    <t>Grafito</t>
  </si>
  <si>
    <t>Shampoo autos</t>
  </si>
  <si>
    <t>Lava vajillas liquido</t>
  </si>
  <si>
    <t xml:space="preserve">Desengrasante </t>
  </si>
  <si>
    <t>Combo</t>
  </si>
  <si>
    <t xml:space="preserve">Precio Normal* </t>
  </si>
  <si>
    <t>Precio de oferta</t>
  </si>
  <si>
    <t>Utilidad por Combo</t>
  </si>
  <si>
    <t>Combo desengrasante de cocina</t>
  </si>
  <si>
    <t xml:space="preserve">Combo shampoo para autos </t>
  </si>
  <si>
    <t>Combo jabon liquido de manos</t>
  </si>
  <si>
    <t>Combo ambiental para autos</t>
  </si>
  <si>
    <t>Combo ambiental para hogar</t>
  </si>
  <si>
    <t xml:space="preserve">Combo desinfectante para pisos </t>
  </si>
  <si>
    <t xml:space="preserve">Estrategia </t>
  </si>
  <si>
    <t xml:space="preserve">Descripción </t>
  </si>
  <si>
    <t>Periodicidad</t>
  </si>
  <si>
    <t>Costo unitario</t>
  </si>
  <si>
    <t>Total anual</t>
  </si>
  <si>
    <t>Producto</t>
  </si>
  <si>
    <t xml:space="preserve">Descuento en combo de productos </t>
  </si>
  <si>
    <t xml:space="preserve">Permanente </t>
  </si>
  <si>
    <t>Precio</t>
  </si>
  <si>
    <t>Descuento en compras por redes sociales</t>
  </si>
  <si>
    <t>Plaza</t>
  </si>
  <si>
    <t>Agente vendedor</t>
  </si>
  <si>
    <t xml:space="preserve">Promoción </t>
  </si>
  <si>
    <t xml:space="preserve">Desucentos en redes sociales combos de productos </t>
  </si>
  <si>
    <t>2 veces al mes</t>
  </si>
  <si>
    <t>Total</t>
  </si>
  <si>
    <t xml:space="preserve">Fijo </t>
  </si>
  <si>
    <t>Variable</t>
  </si>
  <si>
    <t>Costo de ventas</t>
  </si>
  <si>
    <t>Gastos Administrativos</t>
  </si>
  <si>
    <t>Sueldos</t>
  </si>
  <si>
    <t>Depreciación</t>
  </si>
  <si>
    <t>Servicios básicos agua</t>
  </si>
  <si>
    <t>Servicios básicos luz</t>
  </si>
  <si>
    <t xml:space="preserve">Arriendo </t>
  </si>
  <si>
    <t>Amortización intangibles</t>
  </si>
  <si>
    <t>Gastos de venta</t>
  </si>
  <si>
    <t xml:space="preserve">Publicidad </t>
  </si>
  <si>
    <t>Gastos Financieros</t>
  </si>
  <si>
    <t>Interés</t>
  </si>
  <si>
    <t>Costos</t>
  </si>
  <si>
    <t>Costo Total</t>
  </si>
  <si>
    <t>Utilidad Bruta</t>
  </si>
  <si>
    <t>(-) Gastos de Administracion</t>
  </si>
  <si>
    <t>(-) Gasto de Ventas</t>
  </si>
  <si>
    <t>(-) Gasto de Financiero</t>
  </si>
  <si>
    <t>Utilidad antes de Part. Trab.</t>
  </si>
  <si>
    <t>Participacion trabajadores</t>
  </si>
  <si>
    <t>Utilidad antes de impuestos</t>
  </si>
  <si>
    <t>Impuestos</t>
  </si>
  <si>
    <t>Utilidad neta</t>
  </si>
  <si>
    <t>(+) Depreciación</t>
  </si>
  <si>
    <t>(+) amortizacion int.</t>
  </si>
  <si>
    <t>(-) amortizacion bancaria</t>
  </si>
  <si>
    <t>Flujo de caja</t>
  </si>
  <si>
    <t>Año 1</t>
  </si>
  <si>
    <t>Año 2</t>
  </si>
  <si>
    <t>Año 3</t>
  </si>
  <si>
    <t>Año 4</t>
  </si>
  <si>
    <t>Año 5</t>
  </si>
  <si>
    <t>Saldo inicial</t>
  </si>
  <si>
    <t>Total de ingresos</t>
  </si>
  <si>
    <t>Gastos</t>
  </si>
  <si>
    <t>Obligaciones financieras</t>
  </si>
  <si>
    <t xml:space="preserve">Impuestos </t>
  </si>
  <si>
    <t>Total de egresos</t>
  </si>
  <si>
    <t>Flujo neto</t>
  </si>
  <si>
    <t>Flujo por año</t>
  </si>
  <si>
    <t>Años</t>
  </si>
  <si>
    <t>Factor de actualizacion</t>
  </si>
  <si>
    <t>Flujo de efectivo actual</t>
  </si>
  <si>
    <t>Flujo de efectivo acumulado</t>
  </si>
  <si>
    <t>1 / ( 1 + i ) ^ n</t>
  </si>
  <si>
    <t>costo deuda</t>
  </si>
  <si>
    <t>imp</t>
  </si>
  <si>
    <t>socios</t>
  </si>
  <si>
    <t>VAN para comprobar</t>
  </si>
  <si>
    <t>Wacc</t>
  </si>
  <si>
    <t>Tasa de descuento</t>
  </si>
  <si>
    <t>TIR</t>
  </si>
  <si>
    <t>t1 + ((t2 - t1) (VAN1 / VAN1 - VAN2))</t>
  </si>
  <si>
    <t>B/C= INGRESOS ACTUALIZADOS / EGRESOS ACTUALIZADOS</t>
  </si>
  <si>
    <t>B/C</t>
  </si>
  <si>
    <t>Periodos</t>
  </si>
  <si>
    <t>Inversión</t>
  </si>
  <si>
    <t>Flujos</t>
  </si>
  <si>
    <t>Flujos Acumulados</t>
  </si>
  <si>
    <t>flujos</t>
  </si>
  <si>
    <t>meses</t>
  </si>
  <si>
    <t>dias</t>
  </si>
  <si>
    <t>%</t>
  </si>
  <si>
    <t>INVERSIÓN=</t>
  </si>
  <si>
    <t>Periodo</t>
  </si>
  <si>
    <t>Deuda</t>
  </si>
  <si>
    <t>Interes</t>
  </si>
  <si>
    <t>Amortizacion</t>
  </si>
  <si>
    <t>Cuota Fija</t>
  </si>
  <si>
    <t>FINANCIAMIENTO</t>
  </si>
  <si>
    <t>TIEMPO</t>
  </si>
  <si>
    <t>Expresado en dolares</t>
  </si>
  <si>
    <t>Detalle</t>
  </si>
  <si>
    <t>Valor</t>
  </si>
  <si>
    <t>Valor residual</t>
  </si>
  <si>
    <t xml:space="preserve">Depreciacion Inversion Fija   </t>
  </si>
  <si>
    <t>Maquinarias</t>
  </si>
  <si>
    <t xml:space="preserve">Depreciacion Inversion intangible   </t>
  </si>
  <si>
    <t>TASA=</t>
  </si>
  <si>
    <t>CAPITAL</t>
  </si>
  <si>
    <t>TASA WACC=</t>
  </si>
  <si>
    <t>TIR=</t>
  </si>
  <si>
    <t>(Deuda/Inversión)*Tasa i</t>
  </si>
  <si>
    <t>Costo deuda Banco=</t>
  </si>
  <si>
    <t>Costo Inver Socios=</t>
  </si>
  <si>
    <t>(Capital/Inversión)* % de Utilidad</t>
  </si>
  <si>
    <t>Tasa WACC=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</si>
</sst>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&quot;$&quot;\-#,##0.00"/>
    <numFmt numFmtId="8" formatCode="&quot;$&quot;#,##0.00;[Red]&quot;$&quot;\-#,##0.0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"/>
    <numFmt numFmtId="165" formatCode="&quot;$&quot;#,##0.00"/>
    <numFmt numFmtId="166" formatCode="0.0000"/>
    <numFmt numFmtId="167" formatCode="0.000%"/>
    <numFmt numFmtId="168" formatCode="&quot;$&quot;\ #,##0.00_);[Red]\(&quot;$&quot;\ #,##0.00\)"/>
    <numFmt numFmtId="169" formatCode="&quot;$&quot;\ #,##0.00;[Red]&quot;$&quot;\ \-#,##0.00"/>
    <numFmt numFmtId="170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/>
    </xf>
    <xf numFmtId="7" fontId="0" fillId="0" borderId="2" xfId="2" applyNumberFormat="1" applyFont="1" applyBorder="1"/>
    <xf numFmtId="9" fontId="0" fillId="0" borderId="2" xfId="3" applyFont="1" applyBorder="1"/>
    <xf numFmtId="0" fontId="0" fillId="0" borderId="2" xfId="0" applyBorder="1"/>
    <xf numFmtId="7" fontId="0" fillId="0" borderId="2" xfId="0" applyNumberFormat="1" applyBorder="1"/>
    <xf numFmtId="9" fontId="0" fillId="0" borderId="2" xfId="0" applyNumberFormat="1" applyBorder="1"/>
    <xf numFmtId="0" fontId="3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justify" vertical="center"/>
    </xf>
    <xf numFmtId="8" fontId="5" fillId="2" borderId="2" xfId="0" applyNumberFormat="1" applyFont="1" applyFill="1" applyBorder="1" applyAlignment="1">
      <alignment horizontal="right" vertical="center"/>
    </xf>
    <xf numFmtId="8" fontId="5" fillId="0" borderId="2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8" fontId="5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right" vertical="center"/>
    </xf>
    <xf numFmtId="0" fontId="4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vertical="center"/>
    </xf>
    <xf numFmtId="164" fontId="4" fillId="4" borderId="2" xfId="0" applyNumberFormat="1" applyFont="1" applyFill="1" applyBorder="1" applyProtection="1">
      <protection hidden="1"/>
    </xf>
    <xf numFmtId="165" fontId="0" fillId="0" borderId="0" xfId="0" applyNumberFormat="1"/>
    <xf numFmtId="0" fontId="5" fillId="4" borderId="2" xfId="0" applyFont="1" applyFill="1" applyBorder="1" applyAlignment="1">
      <alignment vertical="center"/>
    </xf>
    <xf numFmtId="164" fontId="0" fillId="0" borderId="0" xfId="0" applyNumberFormat="1"/>
    <xf numFmtId="164" fontId="4" fillId="4" borderId="2" xfId="0" applyNumberFormat="1" applyFon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164" fontId="0" fillId="0" borderId="2" xfId="0" applyNumberFormat="1" applyBorder="1" applyProtection="1">
      <protection hidden="1"/>
    </xf>
    <xf numFmtId="166" fontId="0" fillId="0" borderId="0" xfId="0" applyNumberFormat="1"/>
    <xf numFmtId="0" fontId="2" fillId="0" borderId="0" xfId="0" applyFont="1"/>
    <xf numFmtId="43" fontId="0" fillId="0" borderId="0" xfId="1" applyFont="1"/>
    <xf numFmtId="167" fontId="0" fillId="0" borderId="0" xfId="0" applyNumberForma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164" fontId="9" fillId="0" borderId="2" xfId="0" applyNumberFormat="1" applyFont="1" applyBorder="1"/>
    <xf numFmtId="165" fontId="8" fillId="0" borderId="2" xfId="0" applyNumberFormat="1" applyFont="1" applyBorder="1"/>
    <xf numFmtId="164" fontId="8" fillId="0" borderId="2" xfId="0" applyNumberFormat="1" applyFont="1" applyBorder="1"/>
    <xf numFmtId="10" fontId="0" fillId="0" borderId="0" xfId="0" applyNumberFormat="1"/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  <protection hidden="1"/>
    </xf>
    <xf numFmtId="0" fontId="10" fillId="5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center" wrapText="1"/>
    </xf>
    <xf numFmtId="0" fontId="0" fillId="6" borderId="1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15" xfId="0" applyNumberFormat="1" applyFill="1" applyBorder="1" applyAlignment="1">
      <alignment horizontal="center"/>
    </xf>
    <xf numFmtId="164" fontId="0" fillId="6" borderId="2" xfId="0" applyNumberFormat="1" applyFill="1" applyBorder="1" applyAlignment="1" applyProtection="1">
      <alignment horizontal="center"/>
      <protection hidden="1"/>
    </xf>
    <xf numFmtId="0" fontId="0" fillId="6" borderId="17" xfId="0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1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168" fontId="0" fillId="0" borderId="4" xfId="0" applyNumberFormat="1" applyBorder="1" applyAlignment="1">
      <alignment horizontal="center"/>
    </xf>
    <xf numFmtId="169" fontId="0" fillId="3" borderId="2" xfId="0" applyNumberFormat="1" applyFill="1" applyBorder="1"/>
    <xf numFmtId="168" fontId="0" fillId="3" borderId="2" xfId="0" applyNumberFormat="1" applyFill="1" applyBorder="1"/>
    <xf numFmtId="0" fontId="0" fillId="0" borderId="0" xfId="0" applyAlignment="1">
      <alignment horizontal="center" vertical="center" wrapText="1"/>
    </xf>
    <xf numFmtId="10" fontId="0" fillId="0" borderId="0" xfId="3" applyNumberFormat="1" applyFont="1" applyBorder="1"/>
    <xf numFmtId="0" fontId="10" fillId="0" borderId="21" xfId="0" applyFont="1" applyBorder="1" applyAlignment="1">
      <alignment horizontal="center"/>
    </xf>
    <xf numFmtId="10" fontId="0" fillId="0" borderId="0" xfId="3" applyNumberFormat="1" applyFont="1"/>
    <xf numFmtId="10" fontId="0" fillId="0" borderId="5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10" fontId="0" fillId="3" borderId="2" xfId="3" applyNumberFormat="1" applyFont="1" applyFill="1" applyBorder="1"/>
    <xf numFmtId="0" fontId="0" fillId="0" borderId="0" xfId="0" applyAlignment="1" applyProtection="1">
      <alignment horizontal="center"/>
      <protection hidden="1"/>
    </xf>
    <xf numFmtId="0" fontId="0" fillId="4" borderId="0" xfId="0" applyFill="1"/>
    <xf numFmtId="10" fontId="0" fillId="0" borderId="0" xfId="0" applyNumberFormat="1" applyAlignment="1" applyProtection="1">
      <alignment horizontal="center"/>
      <protection hidden="1"/>
    </xf>
    <xf numFmtId="10" fontId="0" fillId="0" borderId="0" xfId="3" applyNumberFormat="1" applyFont="1" applyBorder="1" applyAlignment="1" applyProtection="1">
      <alignment horizontal="center"/>
      <protection hidden="1"/>
    </xf>
    <xf numFmtId="170" fontId="0" fillId="0" borderId="0" xfId="0" applyNumberFormat="1" applyAlignment="1" applyProtection="1">
      <alignment horizontal="center"/>
      <protection hidden="1"/>
    </xf>
    <xf numFmtId="0" fontId="0" fillId="4" borderId="0" xfId="0" applyFill="1" applyAlignment="1">
      <alignment horizontal="center" vertical="center"/>
    </xf>
    <xf numFmtId="4" fontId="0" fillId="4" borderId="22" xfId="0" applyNumberFormat="1" applyFill="1" applyBorder="1" applyAlignment="1">
      <alignment horizontal="center"/>
    </xf>
    <xf numFmtId="0" fontId="0" fillId="4" borderId="0" xfId="0" applyFill="1" applyAlignment="1">
      <alignment horizontal="right"/>
    </xf>
    <xf numFmtId="4" fontId="0" fillId="4" borderId="0" xfId="0" applyNumberFormat="1" applyFill="1"/>
    <xf numFmtId="4" fontId="0" fillId="0" borderId="0" xfId="0" applyNumberFormat="1" applyAlignment="1">
      <alignment horizontal="center"/>
    </xf>
    <xf numFmtId="10" fontId="11" fillId="0" borderId="0" xfId="3" applyNumberFormat="1" applyFont="1" applyBorder="1" applyAlignment="1" applyProtection="1">
      <alignment horizontal="center"/>
      <protection hidden="1"/>
    </xf>
    <xf numFmtId="0" fontId="0" fillId="4" borderId="7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68" fontId="12" fillId="0" borderId="2" xfId="0" applyNumberFormat="1" applyFont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168" fontId="12" fillId="4" borderId="2" xfId="0" applyNumberFormat="1" applyFont="1" applyFill="1" applyBorder="1" applyAlignment="1">
      <alignment horizontal="right" vertical="center"/>
    </xf>
    <xf numFmtId="0" fontId="13" fillId="0" borderId="2" xfId="0" applyFont="1" applyBorder="1"/>
    <xf numFmtId="168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0" fontId="0" fillId="0" borderId="2" xfId="3" applyNumberFormat="1" applyFont="1" applyBorder="1"/>
    <xf numFmtId="3" fontId="5" fillId="0" borderId="2" xfId="0" applyNumberFormat="1" applyFont="1" applyBorder="1" applyAlignment="1">
      <alignment horizontal="center" vertical="center"/>
    </xf>
    <xf numFmtId="44" fontId="0" fillId="0" borderId="0" xfId="2" applyFont="1"/>
    <xf numFmtId="0" fontId="9" fillId="0" borderId="0" xfId="0" applyFont="1"/>
    <xf numFmtId="0" fontId="14" fillId="4" borderId="2" xfId="0" applyFont="1" applyFill="1" applyBorder="1"/>
    <xf numFmtId="0" fontId="14" fillId="3" borderId="2" xfId="0" applyFont="1" applyFill="1" applyBorder="1" applyAlignment="1">
      <alignment horizontal="center"/>
    </xf>
    <xf numFmtId="169" fontId="14" fillId="3" borderId="2" xfId="0" applyNumberFormat="1" applyFont="1" applyFill="1" applyBorder="1"/>
    <xf numFmtId="8" fontId="9" fillId="0" borderId="0" xfId="0" applyNumberFormat="1" applyFont="1"/>
    <xf numFmtId="0" fontId="14" fillId="4" borderId="2" xfId="0" applyFont="1" applyFill="1" applyBorder="1" applyAlignment="1">
      <alignment horizontal="center"/>
    </xf>
    <xf numFmtId="169" fontId="14" fillId="4" borderId="2" xfId="0" applyNumberFormat="1" applyFont="1" applyFill="1" applyBorder="1"/>
    <xf numFmtId="9" fontId="0" fillId="0" borderId="0" xfId="0" applyNumberFormat="1"/>
    <xf numFmtId="44" fontId="0" fillId="0" borderId="0" xfId="0" applyNumberFormat="1"/>
    <xf numFmtId="169" fontId="14" fillId="7" borderId="2" xfId="0" applyNumberFormat="1" applyFont="1" applyFill="1" applyBorder="1"/>
    <xf numFmtId="169" fontId="14" fillId="8" borderId="2" xfId="0" applyNumberFormat="1" applyFont="1" applyFill="1" applyBorder="1"/>
    <xf numFmtId="169" fontId="14" fillId="9" borderId="2" xfId="0" applyNumberFormat="1" applyFont="1" applyFill="1" applyBorder="1"/>
    <xf numFmtId="169" fontId="14" fillId="10" borderId="2" xfId="0" applyNumberFormat="1" applyFont="1" applyFill="1" applyBorder="1"/>
    <xf numFmtId="0" fontId="14" fillId="11" borderId="2" xfId="0" applyFont="1" applyFill="1" applyBorder="1" applyAlignment="1">
      <alignment horizontal="center"/>
    </xf>
    <xf numFmtId="169" fontId="14" fillId="11" borderId="2" xfId="0" applyNumberFormat="1" applyFont="1" applyFill="1" applyBorder="1"/>
    <xf numFmtId="8" fontId="9" fillId="11" borderId="2" xfId="0" applyNumberFormat="1" applyFont="1" applyFill="1" applyBorder="1"/>
    <xf numFmtId="0" fontId="14" fillId="12" borderId="2" xfId="0" applyFont="1" applyFill="1" applyBorder="1" applyAlignment="1">
      <alignment horizontal="center"/>
    </xf>
    <xf numFmtId="169" fontId="14" fillId="12" borderId="2" xfId="0" applyNumberFormat="1" applyFont="1" applyFill="1" applyBorder="1"/>
    <xf numFmtId="8" fontId="9" fillId="12" borderId="2" xfId="0" applyNumberFormat="1" applyFont="1" applyFill="1" applyBorder="1"/>
    <xf numFmtId="0" fontId="14" fillId="9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9" fillId="4" borderId="0" xfId="0" applyFont="1" applyFill="1"/>
    <xf numFmtId="0" fontId="14" fillId="13" borderId="2" xfId="0" applyFont="1" applyFill="1" applyBorder="1"/>
    <xf numFmtId="9" fontId="0" fillId="0" borderId="2" xfId="3" applyNumberFormat="1" applyFont="1" applyBorder="1"/>
    <xf numFmtId="0" fontId="15" fillId="0" borderId="2" xfId="1" applyNumberFormat="1" applyFont="1" applyBorder="1" applyAlignment="1" applyProtection="1">
      <alignment horizontal="center"/>
      <protection hidden="1"/>
    </xf>
    <xf numFmtId="164" fontId="15" fillId="0" borderId="2" xfId="0" applyNumberFormat="1" applyFont="1" applyBorder="1" applyProtection="1">
      <protection hidden="1"/>
    </xf>
    <xf numFmtId="0" fontId="15" fillId="0" borderId="0" xfId="0" applyFont="1"/>
    <xf numFmtId="0" fontId="16" fillId="0" borderId="2" xfId="0" applyFont="1" applyBorder="1" applyAlignment="1">
      <alignment horizontal="center"/>
    </xf>
    <xf numFmtId="165" fontId="14" fillId="0" borderId="2" xfId="0" applyNumberFormat="1" applyFont="1" applyBorder="1"/>
    <xf numFmtId="164" fontId="14" fillId="0" borderId="2" xfId="0" applyNumberFormat="1" applyFont="1" applyBorder="1"/>
    <xf numFmtId="0" fontId="14" fillId="0" borderId="2" xfId="0" applyFont="1" applyBorder="1"/>
    <xf numFmtId="165" fontId="16" fillId="0" borderId="2" xfId="0" applyNumberFormat="1" applyFont="1" applyBorder="1"/>
    <xf numFmtId="0" fontId="16" fillId="0" borderId="2" xfId="0" applyFont="1" applyBorder="1"/>
    <xf numFmtId="164" fontId="16" fillId="0" borderId="2" xfId="0" applyNumberFormat="1" applyFont="1" applyBorder="1"/>
    <xf numFmtId="0" fontId="17" fillId="4" borderId="1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4" fillId="0" borderId="0" xfId="0" applyFont="1"/>
    <xf numFmtId="0" fontId="7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hidden="1"/>
    </xf>
    <xf numFmtId="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left"/>
      <protection hidden="1"/>
    </xf>
    <xf numFmtId="164" fontId="4" fillId="0" borderId="2" xfId="0" applyNumberFormat="1" applyFont="1" applyBorder="1" applyAlignment="1">
      <alignment horizontal="center"/>
    </xf>
    <xf numFmtId="9" fontId="4" fillId="0" borderId="2" xfId="3" applyFont="1" applyBorder="1" applyAlignment="1">
      <alignment horizontal="center"/>
    </xf>
    <xf numFmtId="10" fontId="4" fillId="0" borderId="2" xfId="3" applyNumberFormat="1" applyFont="1" applyBorder="1" applyAlignment="1">
      <alignment horizontal="center"/>
    </xf>
    <xf numFmtId="0" fontId="8" fillId="9" borderId="2" xfId="0" applyFont="1" applyFill="1" applyBorder="1"/>
    <xf numFmtId="164" fontId="9" fillId="9" borderId="2" xfId="0" applyNumberFormat="1" applyFont="1" applyFill="1" applyBorder="1"/>
    <xf numFmtId="164" fontId="14" fillId="9" borderId="2" xfId="0" applyNumberFormat="1" applyFont="1" applyFill="1" applyBorder="1"/>
    <xf numFmtId="165" fontId="9" fillId="9" borderId="2" xfId="0" applyNumberFormat="1" applyFont="1" applyFill="1" applyBorder="1"/>
    <xf numFmtId="165" fontId="14" fillId="9" borderId="2" xfId="0" applyNumberFormat="1" applyFont="1" applyFill="1" applyBorder="1"/>
    <xf numFmtId="0" fontId="8" fillId="9" borderId="2" xfId="0" applyFont="1" applyFill="1" applyBorder="1" applyProtection="1">
      <protection hidden="1"/>
    </xf>
    <xf numFmtId="10" fontId="2" fillId="0" borderId="0" xfId="0" applyNumberFormat="1" applyFont="1"/>
    <xf numFmtId="0" fontId="0" fillId="9" borderId="2" xfId="0" applyFill="1" applyBorder="1"/>
    <xf numFmtId="0" fontId="0" fillId="9" borderId="0" xfId="0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2024-1S-ABRIL/AGRO2024-1S/SEXTO/CASO-LIMPI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"/>
      <sheetName val="TAB AMOR"/>
      <sheetName val="VENTAS"/>
      <sheetName val="PROMO"/>
      <sheetName val="PRESMKT"/>
      <sheetName val="SYS"/>
      <sheetName val="DEP"/>
      <sheetName val="COST"/>
      <sheetName val="ER"/>
      <sheetName val="VAN-TIR"/>
      <sheetName val="ACUMUL"/>
      <sheetName val="BGENE"/>
    </sheetNames>
    <sheetDataSet>
      <sheetData sheetId="0"/>
      <sheetData sheetId="1">
        <row r="5">
          <cell r="D5">
            <v>510.5800166142389</v>
          </cell>
          <cell r="E5">
            <v>483.44974968548013</v>
          </cell>
        </row>
        <row r="11">
          <cell r="D11">
            <v>427.29574231786756</v>
          </cell>
          <cell r="E11">
            <v>566.73402398185135</v>
          </cell>
        </row>
        <row r="12">
          <cell r="D12">
            <v>329.66401960604918</v>
          </cell>
          <cell r="E12">
            <v>664.36574669366973</v>
          </cell>
        </row>
        <row r="13">
          <cell r="D13">
            <v>215.21320208727676</v>
          </cell>
          <cell r="E13">
            <v>778.81656421244236</v>
          </cell>
        </row>
        <row r="14">
          <cell r="D14">
            <v>81.045850873164412</v>
          </cell>
          <cell r="E14">
            <v>912.98391542655452</v>
          </cell>
        </row>
      </sheetData>
      <sheetData sheetId="2">
        <row r="5">
          <cell r="C5">
            <v>2</v>
          </cell>
          <cell r="D5">
            <v>4</v>
          </cell>
        </row>
        <row r="10">
          <cell r="C10">
            <v>5.5</v>
          </cell>
          <cell r="D10">
            <v>9</v>
          </cell>
        </row>
        <row r="12">
          <cell r="C12">
            <v>5</v>
          </cell>
          <cell r="D12">
            <v>8</v>
          </cell>
        </row>
        <row r="18">
          <cell r="C18">
            <v>5</v>
          </cell>
          <cell r="D18">
            <v>8</v>
          </cell>
        </row>
        <row r="20">
          <cell r="C20">
            <v>5</v>
          </cell>
          <cell r="D20">
            <v>8</v>
          </cell>
        </row>
        <row r="21">
          <cell r="G21">
            <v>53446</v>
          </cell>
          <cell r="H21">
            <v>31634.86</v>
          </cell>
        </row>
      </sheetData>
      <sheetData sheetId="3"/>
      <sheetData sheetId="4"/>
      <sheetData sheetId="5">
        <row r="19">
          <cell r="I19">
            <v>8069.0000000000009</v>
          </cell>
        </row>
        <row r="36">
          <cell r="I36">
            <v>6535.2000000000007</v>
          </cell>
        </row>
      </sheetData>
      <sheetData sheetId="6">
        <row r="11">
          <cell r="E11">
            <v>1640</v>
          </cell>
          <cell r="F11">
            <v>1640</v>
          </cell>
          <cell r="G11">
            <v>1640</v>
          </cell>
          <cell r="H11">
            <v>1560</v>
          </cell>
          <cell r="I11">
            <v>1560</v>
          </cell>
        </row>
        <row r="17">
          <cell r="F17">
            <v>120</v>
          </cell>
          <cell r="G17">
            <v>120</v>
          </cell>
          <cell r="H17">
            <v>120</v>
          </cell>
          <cell r="I17">
            <v>120</v>
          </cell>
        </row>
        <row r="18">
          <cell r="E18">
            <v>120</v>
          </cell>
          <cell r="F18">
            <v>120</v>
          </cell>
          <cell r="G18">
            <v>120</v>
          </cell>
          <cell r="H18">
            <v>120</v>
          </cell>
          <cell r="I18">
            <v>120</v>
          </cell>
        </row>
      </sheetData>
      <sheetData sheetId="7">
        <row r="7">
          <cell r="F7">
            <v>11533</v>
          </cell>
        </row>
        <row r="14">
          <cell r="F14">
            <v>6835.2000000000007</v>
          </cell>
        </row>
      </sheetData>
      <sheetData sheetId="8">
        <row r="5">
          <cell r="D5">
            <v>31634.86</v>
          </cell>
        </row>
        <row r="7">
          <cell r="J7">
            <v>1.0625</v>
          </cell>
        </row>
        <row r="15">
          <cell r="D15">
            <v>1640</v>
          </cell>
        </row>
        <row r="16">
          <cell r="D16">
            <v>120</v>
          </cell>
        </row>
        <row r="18">
          <cell r="D18">
            <v>3425.6162361924157</v>
          </cell>
          <cell r="E18">
            <v>3542.2765450479601</v>
          </cell>
          <cell r="F18">
            <v>3663.2423841411869</v>
          </cell>
          <cell r="G18">
            <v>3708.465888888376</v>
          </cell>
          <cell r="H18">
            <v>3837.8514699500092</v>
          </cell>
        </row>
      </sheetData>
      <sheetData sheetId="9">
        <row r="6">
          <cell r="I6">
            <v>-13045.616236192416</v>
          </cell>
        </row>
        <row r="7">
          <cell r="I7">
            <v>3425.6162361924157</v>
          </cell>
        </row>
        <row r="8">
          <cell r="I8">
            <v>3542.2765450479601</v>
          </cell>
        </row>
        <row r="9">
          <cell r="I9">
            <v>3663.2423841411869</v>
          </cell>
        </row>
        <row r="10">
          <cell r="I10">
            <v>3708.465888888376</v>
          </cell>
        </row>
        <row r="11">
          <cell r="I11">
            <v>3837.8514699500092</v>
          </cell>
        </row>
      </sheetData>
      <sheetData sheetId="10"/>
      <sheetData sheetId="11">
        <row r="11">
          <cell r="B11" t="str">
            <v>Muebles de oficina</v>
          </cell>
        </row>
        <row r="12">
          <cell r="B12" t="str">
            <v>Equipo de computo</v>
          </cell>
        </row>
        <row r="13">
          <cell r="B13" t="str">
            <v>Vehiculos</v>
          </cell>
        </row>
        <row r="16">
          <cell r="B16" t="str">
            <v>Gastos preoperacionales</v>
          </cell>
        </row>
        <row r="18">
          <cell r="C18">
            <v>13045.616236192416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E221-9A8A-459F-B14E-1BFDB58D561C}">
  <dimension ref="A3:C9"/>
  <sheetViews>
    <sheetView zoomScale="110" zoomScaleNormal="110" workbookViewId="0">
      <selection activeCell="B9" sqref="B9"/>
    </sheetView>
  </sheetViews>
  <sheetFormatPr baseColWidth="10" defaultRowHeight="14.25" x14ac:dyDescent="0.45"/>
  <cols>
    <col min="1" max="1" width="26.73046875" customWidth="1"/>
    <col min="2" max="2" width="37.19921875" customWidth="1"/>
  </cols>
  <sheetData>
    <row r="3" spans="1:3" ht="15" x14ac:dyDescent="0.45">
      <c r="A3" s="1" t="s">
        <v>0</v>
      </c>
      <c r="B3" s="2" t="s">
        <v>1</v>
      </c>
      <c r="C3" s="8" t="s">
        <v>119</v>
      </c>
    </row>
    <row r="4" spans="1:3" ht="15.4" x14ac:dyDescent="0.45">
      <c r="A4" s="3" t="s">
        <v>2</v>
      </c>
      <c r="B4" s="102">
        <v>835309.26691729331</v>
      </c>
      <c r="C4" s="101">
        <f>B4/$B$9</f>
        <v>0.38863476425052784</v>
      </c>
    </row>
    <row r="5" spans="1:3" ht="15.4" x14ac:dyDescent="0.45">
      <c r="A5" s="3" t="s">
        <v>3</v>
      </c>
      <c r="B5" s="102">
        <v>114576.14661654134</v>
      </c>
      <c r="C5" s="101">
        <f t="shared" ref="C5:C9" si="0">B5/$B$9</f>
        <v>5.3307529908515124E-2</v>
      </c>
    </row>
    <row r="6" spans="1:3" ht="15.4" x14ac:dyDescent="0.45">
      <c r="A6" s="3" t="s">
        <v>4</v>
      </c>
      <c r="B6" s="102">
        <v>237849.49248120302</v>
      </c>
      <c r="C6" s="101">
        <f t="shared" si="0"/>
        <v>0.11066150598170303</v>
      </c>
    </row>
    <row r="7" spans="1:3" ht="15.4" x14ac:dyDescent="0.45">
      <c r="A7" s="3" t="s">
        <v>5</v>
      </c>
      <c r="B7" s="102">
        <v>487043.15789473685</v>
      </c>
      <c r="C7" s="101">
        <f t="shared" si="0"/>
        <v>0.22660098522167488</v>
      </c>
    </row>
    <row r="8" spans="1:3" ht="15.4" x14ac:dyDescent="0.45">
      <c r="A8" s="3" t="s">
        <v>6</v>
      </c>
      <c r="B8" s="102">
        <v>474564.56766917295</v>
      </c>
      <c r="C8" s="101">
        <f t="shared" si="0"/>
        <v>0.22079521463757917</v>
      </c>
    </row>
    <row r="9" spans="1:3" ht="15.4" x14ac:dyDescent="0.45">
      <c r="A9" s="4"/>
      <c r="B9" s="102">
        <f>SUM(B4:B8)</f>
        <v>2149342.6315789474</v>
      </c>
      <c r="C9" s="101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182E-EB0E-4A17-9943-4B841234FFA1}">
  <dimension ref="B4:H21"/>
  <sheetViews>
    <sheetView zoomScale="120" zoomScaleNormal="120" workbookViewId="0">
      <selection activeCell="D5" sqref="D5"/>
    </sheetView>
  </sheetViews>
  <sheetFormatPr baseColWidth="10" defaultRowHeight="14.25" x14ac:dyDescent="0.45"/>
  <cols>
    <col min="2" max="2" width="27.73046875" bestFit="1" customWidth="1"/>
    <col min="3" max="3" width="17.1328125" bestFit="1" customWidth="1"/>
    <col min="4" max="4" width="22.59765625" bestFit="1" customWidth="1"/>
    <col min="5" max="5" width="7.59765625" bestFit="1" customWidth="1"/>
    <col min="6" max="6" width="9.1328125" bestFit="1" customWidth="1"/>
    <col min="9" max="9" width="23.46484375" customWidth="1"/>
    <col min="10" max="10" width="25.796875" customWidth="1"/>
    <col min="11" max="11" width="8.3984375" bestFit="1" customWidth="1"/>
  </cols>
  <sheetData>
    <row r="4" spans="2:8" x14ac:dyDescent="0.45">
      <c r="B4" s="5" t="s">
        <v>7</v>
      </c>
      <c r="C4" s="5" t="s">
        <v>8</v>
      </c>
      <c r="D4" s="5" t="s">
        <v>9</v>
      </c>
      <c r="E4" s="5"/>
      <c r="F4" s="5" t="s">
        <v>10</v>
      </c>
      <c r="G4" s="5" t="s">
        <v>11</v>
      </c>
      <c r="H4" s="5" t="s">
        <v>12</v>
      </c>
    </row>
    <row r="5" spans="2:8" x14ac:dyDescent="0.45">
      <c r="B5" s="5" t="s">
        <v>13</v>
      </c>
      <c r="C5" s="6">
        <v>2</v>
      </c>
      <c r="D5" s="6">
        <v>4</v>
      </c>
      <c r="E5" s="127">
        <v>0.16</v>
      </c>
      <c r="F5" s="8">
        <f t="shared" ref="F5:F20" si="0">TRUNC(E5*F$21)</f>
        <v>1204</v>
      </c>
      <c r="G5" s="9">
        <f>D5*F5</f>
        <v>4816</v>
      </c>
      <c r="H5" s="9">
        <f>F5*C5</f>
        <v>2408</v>
      </c>
    </row>
    <row r="6" spans="2:8" x14ac:dyDescent="0.45">
      <c r="B6" s="5" t="s">
        <v>14</v>
      </c>
      <c r="C6" s="6">
        <v>3.79</v>
      </c>
      <c r="D6" s="6">
        <v>7</v>
      </c>
      <c r="E6" s="7">
        <v>0.27</v>
      </c>
      <c r="F6" s="8">
        <f t="shared" si="0"/>
        <v>2031</v>
      </c>
      <c r="G6" s="9">
        <f t="shared" ref="G6:G20" si="1">D6*F6</f>
        <v>14217</v>
      </c>
      <c r="H6" s="9">
        <f t="shared" ref="H6:H20" si="2">F6*C6</f>
        <v>7697.49</v>
      </c>
    </row>
    <row r="7" spans="2:8" x14ac:dyDescent="0.45">
      <c r="B7" s="5" t="s">
        <v>15</v>
      </c>
      <c r="C7" s="6">
        <v>3.87</v>
      </c>
      <c r="D7" s="6">
        <v>7</v>
      </c>
      <c r="E7" s="7">
        <v>4.342E-2</v>
      </c>
      <c r="F7" s="8">
        <f t="shared" si="0"/>
        <v>326</v>
      </c>
      <c r="G7" s="9">
        <f t="shared" si="1"/>
        <v>2282</v>
      </c>
      <c r="H7" s="9">
        <f t="shared" si="2"/>
        <v>1261.6200000000001</v>
      </c>
    </row>
    <row r="8" spans="2:8" x14ac:dyDescent="0.45">
      <c r="B8" s="5" t="s">
        <v>16</v>
      </c>
      <c r="C8" s="6">
        <v>2</v>
      </c>
      <c r="D8" s="6">
        <v>4</v>
      </c>
      <c r="E8" s="7">
        <v>4.4600000000000001E-2</v>
      </c>
      <c r="F8" s="8">
        <f t="shared" si="0"/>
        <v>335</v>
      </c>
      <c r="G8" s="9">
        <f t="shared" si="1"/>
        <v>1340</v>
      </c>
      <c r="H8" s="9">
        <f t="shared" si="2"/>
        <v>670</v>
      </c>
    </row>
    <row r="9" spans="2:8" x14ac:dyDescent="0.45">
      <c r="B9" s="5" t="s">
        <v>17</v>
      </c>
      <c r="C9" s="6">
        <v>5</v>
      </c>
      <c r="D9" s="6">
        <v>8</v>
      </c>
      <c r="E9" s="7">
        <v>1.9779999999999999E-2</v>
      </c>
      <c r="F9" s="8">
        <f t="shared" si="0"/>
        <v>148</v>
      </c>
      <c r="G9" s="9">
        <f t="shared" si="1"/>
        <v>1184</v>
      </c>
      <c r="H9" s="9">
        <f t="shared" si="2"/>
        <v>740</v>
      </c>
    </row>
    <row r="10" spans="2:8" x14ac:dyDescent="0.45">
      <c r="B10" s="5" t="s">
        <v>18</v>
      </c>
      <c r="C10" s="6">
        <v>5.5</v>
      </c>
      <c r="D10" s="6">
        <v>9</v>
      </c>
      <c r="E10" s="7">
        <v>0.04</v>
      </c>
      <c r="F10" s="8">
        <f t="shared" si="0"/>
        <v>301</v>
      </c>
      <c r="G10" s="9">
        <f t="shared" si="1"/>
        <v>2709</v>
      </c>
      <c r="H10" s="9">
        <f t="shared" si="2"/>
        <v>1655.5</v>
      </c>
    </row>
    <row r="11" spans="2:8" x14ac:dyDescent="0.45">
      <c r="B11" s="5" t="s">
        <v>19</v>
      </c>
      <c r="C11" s="6">
        <v>5.5</v>
      </c>
      <c r="D11" s="6">
        <v>9</v>
      </c>
      <c r="E11" s="7">
        <v>0.04</v>
      </c>
      <c r="F11" s="8">
        <f t="shared" si="0"/>
        <v>301</v>
      </c>
      <c r="G11" s="9">
        <f t="shared" si="1"/>
        <v>2709</v>
      </c>
      <c r="H11" s="9">
        <f t="shared" si="2"/>
        <v>1655.5</v>
      </c>
    </row>
    <row r="12" spans="2:8" x14ac:dyDescent="0.45">
      <c r="B12" s="5" t="s">
        <v>20</v>
      </c>
      <c r="C12" s="6">
        <v>5</v>
      </c>
      <c r="D12" s="6">
        <v>8</v>
      </c>
      <c r="E12" s="7">
        <v>0.18</v>
      </c>
      <c r="F12" s="8">
        <f t="shared" si="0"/>
        <v>1354</v>
      </c>
      <c r="G12" s="9">
        <f t="shared" si="1"/>
        <v>10832</v>
      </c>
      <c r="H12" s="9">
        <f t="shared" si="2"/>
        <v>6770</v>
      </c>
    </row>
    <row r="13" spans="2:8" x14ac:dyDescent="0.45">
      <c r="B13" s="5" t="s">
        <v>21</v>
      </c>
      <c r="C13" s="6">
        <v>7.78</v>
      </c>
      <c r="D13" s="6">
        <v>10</v>
      </c>
      <c r="E13" s="7">
        <v>0.03</v>
      </c>
      <c r="F13" s="8">
        <f t="shared" si="0"/>
        <v>225</v>
      </c>
      <c r="G13" s="9">
        <f t="shared" si="1"/>
        <v>2250</v>
      </c>
      <c r="H13" s="9">
        <f t="shared" si="2"/>
        <v>1750.5</v>
      </c>
    </row>
    <row r="14" spans="2:8" x14ac:dyDescent="0.45">
      <c r="B14" s="5" t="s">
        <v>22</v>
      </c>
      <c r="C14" s="6">
        <v>5</v>
      </c>
      <c r="D14" s="6">
        <v>8</v>
      </c>
      <c r="E14" s="7">
        <v>1.3520000000000001E-2</v>
      </c>
      <c r="F14" s="8">
        <f t="shared" si="0"/>
        <v>101</v>
      </c>
      <c r="G14" s="9">
        <f t="shared" si="1"/>
        <v>808</v>
      </c>
      <c r="H14" s="9">
        <f t="shared" si="2"/>
        <v>505</v>
      </c>
    </row>
    <row r="15" spans="2:8" x14ac:dyDescent="0.45">
      <c r="B15" s="5" t="s">
        <v>23</v>
      </c>
      <c r="C15" s="6">
        <v>7.5</v>
      </c>
      <c r="D15" s="6">
        <v>12</v>
      </c>
      <c r="E15" s="7">
        <v>0.01</v>
      </c>
      <c r="F15" s="8">
        <f t="shared" si="0"/>
        <v>75</v>
      </c>
      <c r="G15" s="9">
        <f t="shared" si="1"/>
        <v>900</v>
      </c>
      <c r="H15" s="9">
        <f t="shared" si="2"/>
        <v>562.5</v>
      </c>
    </row>
    <row r="16" spans="2:8" x14ac:dyDescent="0.45">
      <c r="B16" s="5" t="s">
        <v>24</v>
      </c>
      <c r="C16" s="6">
        <v>6.5</v>
      </c>
      <c r="D16" s="6">
        <v>9</v>
      </c>
      <c r="E16" s="7">
        <v>0.01</v>
      </c>
      <c r="F16" s="8">
        <f t="shared" si="0"/>
        <v>75</v>
      </c>
      <c r="G16" s="9">
        <f t="shared" si="1"/>
        <v>675</v>
      </c>
      <c r="H16" s="9">
        <f t="shared" si="2"/>
        <v>487.5</v>
      </c>
    </row>
    <row r="17" spans="2:8" x14ac:dyDescent="0.45">
      <c r="B17" s="5" t="s">
        <v>25</v>
      </c>
      <c r="C17" s="6">
        <v>7.75</v>
      </c>
      <c r="D17" s="6">
        <v>12</v>
      </c>
      <c r="E17" s="7">
        <v>0.01</v>
      </c>
      <c r="F17" s="8">
        <f t="shared" si="0"/>
        <v>75</v>
      </c>
      <c r="G17" s="9">
        <f t="shared" si="1"/>
        <v>900</v>
      </c>
      <c r="H17" s="9">
        <f t="shared" si="2"/>
        <v>581.25</v>
      </c>
    </row>
    <row r="18" spans="2:8" x14ac:dyDescent="0.45">
      <c r="B18" s="5" t="s">
        <v>26</v>
      </c>
      <c r="C18" s="6">
        <v>5</v>
      </c>
      <c r="D18" s="6">
        <v>8</v>
      </c>
      <c r="E18" s="7">
        <v>0.05</v>
      </c>
      <c r="F18" s="8">
        <f t="shared" si="0"/>
        <v>376</v>
      </c>
      <c r="G18" s="9">
        <f t="shared" si="1"/>
        <v>3008</v>
      </c>
      <c r="H18" s="9">
        <f t="shared" si="2"/>
        <v>1880</v>
      </c>
    </row>
    <row r="19" spans="2:8" x14ac:dyDescent="0.45">
      <c r="B19" s="5" t="s">
        <v>27</v>
      </c>
      <c r="C19" s="6">
        <v>5</v>
      </c>
      <c r="D19" s="6">
        <v>8</v>
      </c>
      <c r="E19" s="7">
        <v>0.04</v>
      </c>
      <c r="F19" s="8">
        <f t="shared" si="0"/>
        <v>301</v>
      </c>
      <c r="G19" s="9">
        <f t="shared" si="1"/>
        <v>2408</v>
      </c>
      <c r="H19" s="9">
        <f t="shared" si="2"/>
        <v>1505</v>
      </c>
    </row>
    <row r="20" spans="2:8" x14ac:dyDescent="0.45">
      <c r="B20" s="5" t="s">
        <v>28</v>
      </c>
      <c r="C20" s="6">
        <v>5</v>
      </c>
      <c r="D20" s="6">
        <v>8</v>
      </c>
      <c r="E20" s="7">
        <v>0.04</v>
      </c>
      <c r="F20" s="8">
        <f t="shared" si="0"/>
        <v>301</v>
      </c>
      <c r="G20" s="9">
        <f t="shared" si="1"/>
        <v>2408</v>
      </c>
      <c r="H20" s="9">
        <f t="shared" si="2"/>
        <v>1505</v>
      </c>
    </row>
    <row r="21" spans="2:8" x14ac:dyDescent="0.45">
      <c r="B21" s="8"/>
      <c r="C21" s="8"/>
      <c r="D21" s="8"/>
      <c r="E21" s="10">
        <f>SUM(E5:E20)</f>
        <v>1.0013200000000002</v>
      </c>
      <c r="F21" s="8">
        <v>7525</v>
      </c>
      <c r="G21" s="8">
        <f>SUM(G5:G20)</f>
        <v>53446</v>
      </c>
      <c r="H21" s="9">
        <f>SUM(H5:H20)</f>
        <v>31634.86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290E-2885-4AF2-9DF0-DC6A1341BC05}">
  <dimension ref="B2:U118"/>
  <sheetViews>
    <sheetView workbookViewId="0">
      <selection activeCell="C5" sqref="C5"/>
    </sheetView>
  </sheetViews>
  <sheetFormatPr baseColWidth="10" defaultRowHeight="14.25" x14ac:dyDescent="0.45"/>
  <cols>
    <col min="1" max="1" width="5" customWidth="1"/>
    <col min="2" max="2" width="8.1328125" bestFit="1" customWidth="1"/>
    <col min="6" max="6" width="14.9296875" customWidth="1"/>
    <col min="9" max="9" width="12.59765625" bestFit="1" customWidth="1"/>
    <col min="10" max="10" width="10.73046875" bestFit="1" customWidth="1"/>
  </cols>
  <sheetData>
    <row r="2" spans="2:21" x14ac:dyDescent="0.45">
      <c r="B2" t="s">
        <v>120</v>
      </c>
      <c r="D2" s="103">
        <v>13045.62</v>
      </c>
      <c r="F2" t="s">
        <v>126</v>
      </c>
      <c r="G2" s="111">
        <v>0.3</v>
      </c>
      <c r="H2" s="112">
        <f>D2*G2</f>
        <v>3913.6860000000001</v>
      </c>
      <c r="I2" t="s">
        <v>127</v>
      </c>
      <c r="J2">
        <f>12*5</f>
        <v>60</v>
      </c>
      <c r="K2" t="s">
        <v>135</v>
      </c>
      <c r="L2" s="111">
        <v>0.16</v>
      </c>
      <c r="M2" t="s">
        <v>136</v>
      </c>
      <c r="N2" s="112">
        <f>D2-C5</f>
        <v>9131.9340000000011</v>
      </c>
    </row>
    <row r="4" spans="2:21" x14ac:dyDescent="0.45">
      <c r="B4" s="126" t="s">
        <v>121</v>
      </c>
      <c r="C4" s="126" t="s">
        <v>122</v>
      </c>
      <c r="D4" s="126" t="s">
        <v>123</v>
      </c>
      <c r="E4" s="126" t="s">
        <v>124</v>
      </c>
      <c r="F4" s="126" t="s">
        <v>125</v>
      </c>
      <c r="G4" s="104"/>
      <c r="H4" s="105" t="s">
        <v>121</v>
      </c>
      <c r="I4" s="105" t="s">
        <v>122</v>
      </c>
      <c r="J4" s="105" t="s">
        <v>123</v>
      </c>
      <c r="K4" s="105" t="s">
        <v>124</v>
      </c>
      <c r="L4" s="105" t="s">
        <v>125</v>
      </c>
      <c r="M4" s="104"/>
      <c r="N4" s="104"/>
      <c r="O4" s="104"/>
      <c r="P4" s="104"/>
      <c r="Q4" s="104"/>
      <c r="R4" s="104"/>
      <c r="S4" s="104"/>
      <c r="T4" s="104"/>
      <c r="U4" s="104"/>
    </row>
    <row r="5" spans="2:21" x14ac:dyDescent="0.45">
      <c r="B5" s="109">
        <v>1</v>
      </c>
      <c r="C5" s="110">
        <f>H2</f>
        <v>3913.6860000000001</v>
      </c>
      <c r="D5" s="110">
        <f>M16</f>
        <v>586.62493956960225</v>
      </c>
      <c r="E5" s="110">
        <f t="shared" ref="E5:F5" si="0">N16</f>
        <v>555.45393663233904</v>
      </c>
      <c r="F5" s="110">
        <f>O16</f>
        <v>1142.0788762019413</v>
      </c>
      <c r="G5" s="108"/>
      <c r="H5" s="109">
        <v>1</v>
      </c>
      <c r="I5" s="110">
        <f>C10</f>
        <v>3913.6860000000001</v>
      </c>
      <c r="J5" s="107">
        <f>IPMT((0.16/12),1,60,-I5)</f>
        <v>52.182480000000005</v>
      </c>
      <c r="K5" s="110">
        <f>L5-J5</f>
        <v>42.990759683495092</v>
      </c>
      <c r="L5" s="110">
        <f>PMT((0.16/12),60,-$I$5,0,0)</f>
        <v>95.173239683495098</v>
      </c>
      <c r="M5" s="108"/>
      <c r="N5" s="104"/>
      <c r="O5" s="104"/>
      <c r="P5" s="104"/>
      <c r="Q5" s="104"/>
      <c r="R5" s="104"/>
      <c r="S5" s="104"/>
      <c r="T5" s="104"/>
      <c r="U5" s="104"/>
    </row>
    <row r="6" spans="2:21" x14ac:dyDescent="0.45">
      <c r="B6" s="104"/>
      <c r="C6" s="104"/>
      <c r="D6" s="104"/>
      <c r="E6" s="104"/>
      <c r="F6" s="104"/>
      <c r="G6" s="108"/>
      <c r="H6" s="109">
        <v>2</v>
      </c>
      <c r="I6" s="110">
        <f>I5-K5</f>
        <v>3870.6952403165051</v>
      </c>
      <c r="J6" s="107">
        <f>IPMT((0.16/12),1,60,-I6)</f>
        <v>51.609269870886735</v>
      </c>
      <c r="K6" s="110">
        <f t="shared" ref="K6:K63" si="1">L6-J6</f>
        <v>43.563969812608363</v>
      </c>
      <c r="L6" s="110">
        <f t="shared" ref="L6:L17" si="2">PMT((0.16/12),60,-$I$5,0,0)</f>
        <v>95.173239683495098</v>
      </c>
      <c r="M6" s="108"/>
      <c r="N6" s="104"/>
      <c r="O6" s="104"/>
      <c r="P6" s="104"/>
      <c r="Q6" s="104"/>
      <c r="R6" s="104"/>
      <c r="S6" s="104"/>
      <c r="T6" s="104"/>
      <c r="U6" s="104"/>
    </row>
    <row r="7" spans="2:21" x14ac:dyDescent="0.45">
      <c r="B7" s="104"/>
      <c r="C7" s="104"/>
      <c r="D7" s="104"/>
      <c r="E7" s="104"/>
      <c r="F7" s="104"/>
      <c r="G7" s="104"/>
      <c r="H7" s="109">
        <v>3</v>
      </c>
      <c r="I7" s="110">
        <f t="shared" ref="I7:I64" si="3">I6-K6</f>
        <v>3827.1312705038968</v>
      </c>
      <c r="J7" s="107">
        <f t="shared" ref="J7:J64" si="4">IPMT((0.16/12),1,60,-I7)</f>
        <v>51.028416940051962</v>
      </c>
      <c r="K7" s="110">
        <f t="shared" si="1"/>
        <v>44.144822743443136</v>
      </c>
      <c r="L7" s="110">
        <f t="shared" si="2"/>
        <v>95.173239683495098</v>
      </c>
      <c r="M7" s="108"/>
      <c r="N7" s="104"/>
      <c r="O7" s="104"/>
      <c r="P7" s="104"/>
      <c r="Q7" s="104"/>
      <c r="R7" s="104"/>
      <c r="S7" s="104"/>
      <c r="T7" s="104"/>
      <c r="U7" s="104"/>
    </row>
    <row r="8" spans="2:21" x14ac:dyDescent="0.45">
      <c r="B8" s="125"/>
      <c r="C8" s="125"/>
      <c r="D8" s="125"/>
      <c r="E8" s="125"/>
      <c r="F8" s="125"/>
      <c r="G8" s="104"/>
      <c r="H8" s="109">
        <v>4</v>
      </c>
      <c r="I8" s="110">
        <f t="shared" si="3"/>
        <v>3782.9864477604538</v>
      </c>
      <c r="J8" s="107">
        <f t="shared" si="4"/>
        <v>50.439819303472717</v>
      </c>
      <c r="K8" s="110">
        <f t="shared" si="1"/>
        <v>44.73342038002238</v>
      </c>
      <c r="L8" s="110">
        <f t="shared" si="2"/>
        <v>95.173239683495098</v>
      </c>
      <c r="M8" s="108"/>
      <c r="N8" s="104"/>
      <c r="O8" s="104"/>
      <c r="P8" s="104"/>
      <c r="Q8" s="104"/>
      <c r="R8" s="104"/>
      <c r="S8" s="104"/>
      <c r="T8" s="104"/>
      <c r="U8" s="104"/>
    </row>
    <row r="9" spans="2:21" x14ac:dyDescent="0.45">
      <c r="B9" s="105" t="s">
        <v>121</v>
      </c>
      <c r="C9" s="105" t="s">
        <v>122</v>
      </c>
      <c r="D9" s="105" t="s">
        <v>123</v>
      </c>
      <c r="E9" s="105" t="s">
        <v>124</v>
      </c>
      <c r="F9" s="105" t="s">
        <v>125</v>
      </c>
      <c r="G9" s="104"/>
      <c r="H9" s="109">
        <v>5</v>
      </c>
      <c r="I9" s="110">
        <f t="shared" si="3"/>
        <v>3738.2530273804314</v>
      </c>
      <c r="J9" s="107">
        <f t="shared" si="4"/>
        <v>49.843373698405756</v>
      </c>
      <c r="K9" s="110">
        <f t="shared" si="1"/>
        <v>45.329865985089342</v>
      </c>
      <c r="L9" s="110">
        <f t="shared" si="2"/>
        <v>95.173239683495098</v>
      </c>
      <c r="M9" s="108"/>
      <c r="N9" s="104"/>
      <c r="O9" s="104"/>
      <c r="P9" s="104"/>
      <c r="Q9" s="104"/>
      <c r="R9" s="104"/>
      <c r="S9" s="104"/>
      <c r="T9" s="104"/>
      <c r="U9" s="104"/>
    </row>
    <row r="10" spans="2:21" x14ac:dyDescent="0.45">
      <c r="B10" s="106">
        <v>1</v>
      </c>
      <c r="C10" s="107">
        <f>C5</f>
        <v>3913.6860000000001</v>
      </c>
      <c r="D10" s="107">
        <f>M16</f>
        <v>586.62493956960225</v>
      </c>
      <c r="E10" s="107">
        <f t="shared" ref="E10:F10" si="5">N16</f>
        <v>555.45393663233904</v>
      </c>
      <c r="F10" s="107">
        <f t="shared" si="5"/>
        <v>1142.0788762019413</v>
      </c>
      <c r="G10" s="104"/>
      <c r="H10" s="109">
        <v>6</v>
      </c>
      <c r="I10" s="110">
        <f t="shared" si="3"/>
        <v>3692.923161395342</v>
      </c>
      <c r="J10" s="107">
        <f t="shared" si="4"/>
        <v>49.238975485271233</v>
      </c>
      <c r="K10" s="110">
        <f t="shared" si="1"/>
        <v>45.934264198223865</v>
      </c>
      <c r="L10" s="110">
        <f t="shared" si="2"/>
        <v>95.173239683495098</v>
      </c>
      <c r="M10" s="108"/>
      <c r="N10" s="104"/>
      <c r="O10" s="104"/>
      <c r="P10" s="104"/>
      <c r="Q10" s="104"/>
      <c r="R10" s="104"/>
      <c r="S10" s="104"/>
      <c r="T10" s="104"/>
      <c r="U10" s="104"/>
    </row>
    <row r="11" spans="2:21" x14ac:dyDescent="0.45">
      <c r="B11" s="117">
        <v>2</v>
      </c>
      <c r="C11" s="118">
        <f>C10-E10</f>
        <v>3358.2320633676609</v>
      </c>
      <c r="D11" s="119">
        <f>M28</f>
        <v>490.93644650991422</v>
      </c>
      <c r="E11" s="119">
        <f t="shared" ref="E11:F11" si="6">N28</f>
        <v>651.14242969202689</v>
      </c>
      <c r="F11" s="119">
        <f t="shared" si="6"/>
        <v>1142.0788762019413</v>
      </c>
      <c r="G11" s="104"/>
      <c r="H11" s="109">
        <v>7</v>
      </c>
      <c r="I11" s="110">
        <f t="shared" si="3"/>
        <v>3646.9888971971181</v>
      </c>
      <c r="J11" s="107">
        <f t="shared" si="4"/>
        <v>48.626518629294914</v>
      </c>
      <c r="K11" s="110">
        <f t="shared" si="1"/>
        <v>46.546721054200184</v>
      </c>
      <c r="L11" s="110">
        <f t="shared" si="2"/>
        <v>95.173239683495098</v>
      </c>
      <c r="M11" s="108"/>
      <c r="N11" s="104"/>
      <c r="O11" s="104"/>
      <c r="P11" s="104"/>
      <c r="Q11" s="104"/>
      <c r="R11" s="104"/>
      <c r="S11" s="104"/>
      <c r="T11" s="104"/>
      <c r="U11" s="104"/>
    </row>
    <row r="12" spans="2:21" x14ac:dyDescent="0.45">
      <c r="B12" s="120">
        <v>3</v>
      </c>
      <c r="C12" s="121">
        <f t="shared" ref="C12:C14" si="7">C11-E11</f>
        <v>2707.0896336756341</v>
      </c>
      <c r="D12" s="122">
        <f>M40</f>
        <v>378.76362036664494</v>
      </c>
      <c r="E12" s="122">
        <f t="shared" ref="E12:F12" si="8">N40</f>
        <v>763.31525583529606</v>
      </c>
      <c r="F12" s="122">
        <f t="shared" si="8"/>
        <v>1142.0788762019413</v>
      </c>
      <c r="G12" s="104"/>
      <c r="H12" s="109">
        <v>8</v>
      </c>
      <c r="I12" s="110">
        <f t="shared" si="3"/>
        <v>3600.442176142918</v>
      </c>
      <c r="J12" s="107">
        <f t="shared" si="4"/>
        <v>48.005895681905578</v>
      </c>
      <c r="K12" s="110">
        <f t="shared" si="1"/>
        <v>47.16734400158952</v>
      </c>
      <c r="L12" s="110">
        <f t="shared" si="2"/>
        <v>95.173239683495098</v>
      </c>
      <c r="M12" s="108"/>
      <c r="N12" s="104"/>
      <c r="O12" s="104"/>
      <c r="P12" s="104"/>
      <c r="Q12" s="104"/>
      <c r="R12" s="104"/>
      <c r="S12" s="104"/>
      <c r="T12" s="104"/>
      <c r="U12" s="104"/>
    </row>
    <row r="13" spans="2:21" x14ac:dyDescent="0.45">
      <c r="B13" s="123">
        <v>4</v>
      </c>
      <c r="C13" s="115">
        <f t="shared" si="7"/>
        <v>1943.774377840338</v>
      </c>
      <c r="D13" s="115">
        <f>M52</f>
        <v>247.26669192072069</v>
      </c>
      <c r="E13" s="115">
        <f t="shared" ref="E13:F13" si="9">N52</f>
        <v>894.81218428122054</v>
      </c>
      <c r="F13" s="115">
        <f t="shared" si="9"/>
        <v>1142.0788762019413</v>
      </c>
      <c r="G13" s="104"/>
      <c r="H13" s="109">
        <v>9</v>
      </c>
      <c r="I13" s="110">
        <f t="shared" si="3"/>
        <v>3553.2748321413287</v>
      </c>
      <c r="J13" s="107">
        <f t="shared" si="4"/>
        <v>47.376997761884382</v>
      </c>
      <c r="K13" s="110">
        <f t="shared" si="1"/>
        <v>47.796241921610715</v>
      </c>
      <c r="L13" s="110">
        <f t="shared" si="2"/>
        <v>95.173239683495098</v>
      </c>
      <c r="M13" s="108"/>
      <c r="N13" s="104"/>
      <c r="O13" s="104"/>
      <c r="P13" s="104"/>
      <c r="Q13" s="104"/>
      <c r="R13" s="104"/>
      <c r="S13" s="104"/>
      <c r="T13" s="104"/>
      <c r="U13" s="104"/>
    </row>
    <row r="14" spans="2:21" x14ac:dyDescent="0.45">
      <c r="B14" s="124">
        <v>5</v>
      </c>
      <c r="C14" s="116">
        <f t="shared" si="7"/>
        <v>1048.9621935591176</v>
      </c>
      <c r="D14" s="116">
        <f>M64</f>
        <v>93.116682642826717</v>
      </c>
      <c r="E14" s="116">
        <f>N64</f>
        <v>1048.9621935591144</v>
      </c>
      <c r="F14" s="116">
        <f>O64</f>
        <v>1142.0788762019413</v>
      </c>
      <c r="G14" s="104"/>
      <c r="H14" s="109">
        <v>10</v>
      </c>
      <c r="I14" s="110">
        <f t="shared" si="3"/>
        <v>3505.4785902197182</v>
      </c>
      <c r="J14" s="107">
        <f t="shared" si="4"/>
        <v>46.739714536262909</v>
      </c>
      <c r="K14" s="110">
        <f t="shared" si="1"/>
        <v>48.433525147232189</v>
      </c>
      <c r="L14" s="110">
        <f t="shared" si="2"/>
        <v>95.173239683495098</v>
      </c>
      <c r="M14" s="108"/>
      <c r="N14" s="104"/>
      <c r="O14" s="104"/>
      <c r="P14" s="104"/>
      <c r="Q14" s="104"/>
      <c r="R14" s="104"/>
      <c r="S14" s="104"/>
      <c r="T14" s="104"/>
      <c r="U14" s="104"/>
    </row>
    <row r="15" spans="2:21" x14ac:dyDescent="0.45">
      <c r="B15" s="105" t="s">
        <v>54</v>
      </c>
      <c r="C15" s="110"/>
      <c r="D15" s="110">
        <f>SUM(D10:D14)</f>
        <v>1796.7083810097088</v>
      </c>
      <c r="E15" s="110">
        <f>SUM(E10:E14)</f>
        <v>3913.685999999997</v>
      </c>
      <c r="F15" s="110">
        <f>SUM(F10:F14)</f>
        <v>5710.3943810097062</v>
      </c>
      <c r="G15" s="104"/>
      <c r="H15" s="109">
        <v>11</v>
      </c>
      <c r="I15" s="110">
        <f t="shared" si="3"/>
        <v>3457.0450650724861</v>
      </c>
      <c r="J15" s="107">
        <f t="shared" si="4"/>
        <v>46.093934200966487</v>
      </c>
      <c r="K15" s="110">
        <f t="shared" si="1"/>
        <v>49.079305482528611</v>
      </c>
      <c r="L15" s="110">
        <f t="shared" si="2"/>
        <v>95.173239683495098</v>
      </c>
      <c r="M15" s="108"/>
      <c r="N15" s="104"/>
      <c r="O15" s="104"/>
      <c r="P15" s="104"/>
      <c r="Q15" s="104"/>
      <c r="R15" s="104"/>
      <c r="S15" s="104"/>
      <c r="T15" s="104"/>
      <c r="U15" s="104"/>
    </row>
    <row r="16" spans="2:21" x14ac:dyDescent="0.45">
      <c r="B16" s="104"/>
      <c r="C16" s="104"/>
      <c r="D16" s="104"/>
      <c r="E16" s="104"/>
      <c r="F16" s="104"/>
      <c r="G16" s="104"/>
      <c r="H16" s="109">
        <v>12</v>
      </c>
      <c r="I16" s="110">
        <f t="shared" si="3"/>
        <v>3407.9657595899575</v>
      </c>
      <c r="J16" s="107">
        <f t="shared" si="4"/>
        <v>45.439543461199435</v>
      </c>
      <c r="K16" s="110">
        <f t="shared" si="1"/>
        <v>49.733696222295663</v>
      </c>
      <c r="L16" s="110">
        <f t="shared" si="2"/>
        <v>95.173239683495098</v>
      </c>
      <c r="M16" s="108">
        <f>SUM(J5:J16)</f>
        <v>586.62493956960225</v>
      </c>
      <c r="N16" s="108">
        <f>SUM(K5:K16)</f>
        <v>555.45393663233904</v>
      </c>
      <c r="O16" s="108">
        <f>SUM(L5:L16)</f>
        <v>1142.0788762019413</v>
      </c>
      <c r="P16" s="104"/>
      <c r="Q16" s="104"/>
      <c r="R16" s="104"/>
      <c r="S16" s="104"/>
      <c r="T16" s="104"/>
      <c r="U16" s="104"/>
    </row>
    <row r="17" spans="2:21" x14ac:dyDescent="0.45">
      <c r="B17" s="104"/>
      <c r="C17" s="104"/>
      <c r="D17" s="104"/>
      <c r="E17" s="104"/>
      <c r="F17" s="104"/>
      <c r="G17" s="104"/>
      <c r="H17" s="109">
        <v>13</v>
      </c>
      <c r="I17" s="110">
        <f t="shared" si="3"/>
        <v>3358.2320633676618</v>
      </c>
      <c r="J17" s="113">
        <f t="shared" si="4"/>
        <v>44.776427511568826</v>
      </c>
      <c r="K17" s="110">
        <f t="shared" si="1"/>
        <v>50.396812171926271</v>
      </c>
      <c r="L17" s="110">
        <f t="shared" si="2"/>
        <v>95.173239683495098</v>
      </c>
      <c r="M17" s="108"/>
      <c r="N17" s="104"/>
      <c r="O17" s="104"/>
      <c r="P17" s="104"/>
      <c r="Q17" s="104"/>
      <c r="R17" s="104"/>
      <c r="S17" s="104"/>
      <c r="T17" s="104"/>
      <c r="U17" s="104"/>
    </row>
    <row r="18" spans="2:21" x14ac:dyDescent="0.45">
      <c r="B18" s="104"/>
      <c r="C18" s="104"/>
      <c r="D18" s="104"/>
      <c r="E18" s="104"/>
      <c r="F18" s="104"/>
      <c r="G18" s="104"/>
      <c r="H18" s="109">
        <v>14</v>
      </c>
      <c r="I18" s="110">
        <f t="shared" si="3"/>
        <v>3307.8352511957355</v>
      </c>
      <c r="J18" s="113">
        <f t="shared" si="4"/>
        <v>44.104470015943143</v>
      </c>
      <c r="K18" s="110">
        <f t="shared" si="1"/>
        <v>51.068769667551955</v>
      </c>
      <c r="L18" s="110">
        <f t="shared" ref="L18:L64" si="10">PMT((0.16/12),60,-$C$5,0,0)</f>
        <v>95.173239683495098</v>
      </c>
      <c r="M18" s="104"/>
      <c r="N18" s="104"/>
      <c r="O18" s="104"/>
      <c r="P18" s="104"/>
      <c r="Q18" s="104"/>
      <c r="R18" s="104"/>
      <c r="S18" s="104"/>
      <c r="T18" s="104"/>
      <c r="U18" s="104"/>
    </row>
    <row r="19" spans="2:21" x14ac:dyDescent="0.45">
      <c r="B19" s="104"/>
      <c r="C19" s="104"/>
      <c r="D19" s="104"/>
      <c r="E19" s="104"/>
      <c r="F19" s="104"/>
      <c r="G19" s="104"/>
      <c r="H19" s="109">
        <v>15</v>
      </c>
      <c r="I19" s="110">
        <f t="shared" si="3"/>
        <v>3256.7664815281837</v>
      </c>
      <c r="J19" s="113">
        <f t="shared" si="4"/>
        <v>43.42355308704245</v>
      </c>
      <c r="K19" s="110">
        <f t="shared" si="1"/>
        <v>51.749686596452648</v>
      </c>
      <c r="L19" s="110">
        <f t="shared" si="10"/>
        <v>95.173239683495098</v>
      </c>
      <c r="M19" s="104"/>
      <c r="N19" s="104"/>
      <c r="O19" s="104"/>
      <c r="P19" s="104"/>
      <c r="Q19" s="104"/>
      <c r="R19" s="104"/>
      <c r="S19" s="104"/>
      <c r="T19" s="104"/>
      <c r="U19" s="104"/>
    </row>
    <row r="20" spans="2:21" x14ac:dyDescent="0.45">
      <c r="B20" s="104"/>
      <c r="C20" s="104"/>
      <c r="D20" s="104"/>
      <c r="E20" s="104"/>
      <c r="F20" s="104"/>
      <c r="G20" s="104"/>
      <c r="H20" s="109">
        <v>16</v>
      </c>
      <c r="I20" s="110">
        <f t="shared" si="3"/>
        <v>3205.0167949317311</v>
      </c>
      <c r="J20" s="113">
        <f t="shared" si="4"/>
        <v>42.733557265756424</v>
      </c>
      <c r="K20" s="110">
        <f t="shared" si="1"/>
        <v>52.439682417738673</v>
      </c>
      <c r="L20" s="110">
        <f t="shared" si="10"/>
        <v>95.173239683495098</v>
      </c>
      <c r="M20" s="104"/>
      <c r="N20" s="104"/>
      <c r="O20" s="104"/>
      <c r="P20" s="104"/>
      <c r="Q20" s="104"/>
      <c r="R20" s="104"/>
      <c r="S20" s="104"/>
      <c r="T20" s="104"/>
      <c r="U20" s="104"/>
    </row>
    <row r="21" spans="2:21" x14ac:dyDescent="0.45">
      <c r="B21" s="104"/>
      <c r="C21" s="104"/>
      <c r="D21" s="104"/>
      <c r="E21" s="104"/>
      <c r="F21" s="104"/>
      <c r="G21" s="104"/>
      <c r="H21" s="109">
        <v>17</v>
      </c>
      <c r="I21" s="110">
        <f t="shared" si="3"/>
        <v>3152.5771125139922</v>
      </c>
      <c r="J21" s="113">
        <f t="shared" si="4"/>
        <v>42.034361500186563</v>
      </c>
      <c r="K21" s="110">
        <f t="shared" si="1"/>
        <v>53.138878183308535</v>
      </c>
      <c r="L21" s="110">
        <f t="shared" si="10"/>
        <v>95.173239683495098</v>
      </c>
      <c r="M21" s="104"/>
      <c r="N21" s="104"/>
      <c r="O21" s="104"/>
      <c r="P21" s="104"/>
      <c r="Q21" s="104"/>
      <c r="R21" s="104"/>
      <c r="S21" s="104"/>
      <c r="T21" s="104"/>
      <c r="U21" s="104"/>
    </row>
    <row r="22" spans="2:21" x14ac:dyDescent="0.45">
      <c r="B22" s="104"/>
      <c r="C22" s="104"/>
      <c r="D22" s="104"/>
      <c r="E22" s="104"/>
      <c r="F22" s="104"/>
      <c r="G22" s="104"/>
      <c r="H22" s="109">
        <v>18</v>
      </c>
      <c r="I22" s="110">
        <f t="shared" si="3"/>
        <v>3099.4382343306838</v>
      </c>
      <c r="J22" s="113">
        <f t="shared" si="4"/>
        <v>41.325843124409118</v>
      </c>
      <c r="K22" s="110">
        <f t="shared" si="1"/>
        <v>53.847396559085979</v>
      </c>
      <c r="L22" s="110">
        <f t="shared" si="10"/>
        <v>95.173239683495098</v>
      </c>
      <c r="M22" s="104"/>
      <c r="N22" s="104"/>
      <c r="O22" s="104"/>
      <c r="P22" s="104"/>
      <c r="Q22" s="104"/>
      <c r="R22" s="104"/>
      <c r="S22" s="104"/>
      <c r="T22" s="104"/>
      <c r="U22" s="104"/>
    </row>
    <row r="23" spans="2:21" x14ac:dyDescent="0.45">
      <c r="B23" s="104"/>
      <c r="C23" s="104"/>
      <c r="D23" s="104"/>
      <c r="E23" s="104"/>
      <c r="F23" s="104"/>
      <c r="G23" s="104"/>
      <c r="H23" s="109">
        <v>19</v>
      </c>
      <c r="I23" s="110">
        <f t="shared" si="3"/>
        <v>3045.5908377715978</v>
      </c>
      <c r="J23" s="113">
        <f t="shared" si="4"/>
        <v>40.607877836954643</v>
      </c>
      <c r="K23" s="110">
        <f t="shared" si="1"/>
        <v>54.565361846540455</v>
      </c>
      <c r="L23" s="110">
        <f t="shared" si="10"/>
        <v>95.173239683495098</v>
      </c>
      <c r="M23" s="104"/>
      <c r="N23" s="104"/>
      <c r="O23" s="104"/>
      <c r="P23" s="104"/>
      <c r="Q23" s="104"/>
      <c r="R23" s="104"/>
      <c r="S23" s="104"/>
      <c r="T23" s="104"/>
      <c r="U23" s="104"/>
    </row>
    <row r="24" spans="2:21" x14ac:dyDescent="0.45">
      <c r="B24" s="104"/>
      <c r="C24" s="104"/>
      <c r="D24" s="104"/>
      <c r="E24" s="104"/>
      <c r="F24" s="104"/>
      <c r="G24" s="104"/>
      <c r="H24" s="109">
        <v>20</v>
      </c>
      <c r="I24" s="110">
        <f t="shared" si="3"/>
        <v>2991.0254759250574</v>
      </c>
      <c r="J24" s="113">
        <f t="shared" si="4"/>
        <v>39.88033967900077</v>
      </c>
      <c r="K24" s="110">
        <f t="shared" si="1"/>
        <v>55.292900004494328</v>
      </c>
      <c r="L24" s="110">
        <f t="shared" si="10"/>
        <v>95.173239683495098</v>
      </c>
      <c r="M24" s="104"/>
      <c r="N24" s="104"/>
      <c r="O24" s="104"/>
      <c r="P24" s="104"/>
      <c r="Q24" s="104"/>
      <c r="R24" s="104"/>
      <c r="S24" s="104"/>
      <c r="T24" s="104"/>
      <c r="U24" s="104"/>
    </row>
    <row r="25" spans="2:21" x14ac:dyDescent="0.45">
      <c r="B25" s="104"/>
      <c r="C25" s="104"/>
      <c r="D25" s="104"/>
      <c r="E25" s="104"/>
      <c r="F25" s="104"/>
      <c r="G25" s="104"/>
      <c r="H25" s="109">
        <v>21</v>
      </c>
      <c r="I25" s="110">
        <f t="shared" si="3"/>
        <v>2935.7325759205632</v>
      </c>
      <c r="J25" s="113">
        <f t="shared" si="4"/>
        <v>39.14310101227418</v>
      </c>
      <c r="K25" s="110">
        <f t="shared" si="1"/>
        <v>56.030138671220918</v>
      </c>
      <c r="L25" s="110">
        <f t="shared" si="10"/>
        <v>95.173239683495098</v>
      </c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21" x14ac:dyDescent="0.45">
      <c r="B26" s="104"/>
      <c r="C26" s="104"/>
      <c r="D26" s="104"/>
      <c r="E26" s="104"/>
      <c r="F26" s="104"/>
      <c r="G26" s="104"/>
      <c r="H26" s="109">
        <v>22</v>
      </c>
      <c r="I26" s="110">
        <f t="shared" si="3"/>
        <v>2879.7024372493424</v>
      </c>
      <c r="J26" s="113">
        <f t="shared" si="4"/>
        <v>38.396032496657902</v>
      </c>
      <c r="K26" s="110">
        <f t="shared" si="1"/>
        <v>56.777207186837195</v>
      </c>
      <c r="L26" s="110">
        <f t="shared" si="10"/>
        <v>95.173239683495098</v>
      </c>
      <c r="M26" s="104"/>
      <c r="N26" s="104"/>
      <c r="O26" s="104"/>
      <c r="P26" s="104"/>
      <c r="Q26" s="104"/>
      <c r="R26" s="104"/>
      <c r="S26" s="104"/>
      <c r="T26" s="104"/>
      <c r="U26" s="104"/>
    </row>
    <row r="27" spans="2:21" x14ac:dyDescent="0.45">
      <c r="B27" s="104"/>
      <c r="C27" s="104"/>
      <c r="D27" s="104"/>
      <c r="E27" s="104"/>
      <c r="F27" s="104"/>
      <c r="G27" s="104"/>
      <c r="H27" s="109">
        <v>23</v>
      </c>
      <c r="I27" s="110">
        <f t="shared" si="3"/>
        <v>2822.9252300625053</v>
      </c>
      <c r="J27" s="113">
        <f t="shared" si="4"/>
        <v>37.63900306750007</v>
      </c>
      <c r="K27" s="110">
        <f t="shared" si="1"/>
        <v>57.534236615995027</v>
      </c>
      <c r="L27" s="110">
        <f t="shared" si="10"/>
        <v>95.173239683495098</v>
      </c>
      <c r="M27" s="104"/>
      <c r="N27" s="104"/>
      <c r="O27" s="104"/>
      <c r="P27" s="104"/>
      <c r="Q27" s="104"/>
      <c r="R27" s="104"/>
      <c r="S27" s="104"/>
      <c r="T27" s="104"/>
      <c r="U27" s="104"/>
    </row>
    <row r="28" spans="2:21" x14ac:dyDescent="0.45">
      <c r="B28" s="104"/>
      <c r="C28" s="104"/>
      <c r="D28" s="104"/>
      <c r="E28" s="104"/>
      <c r="F28" s="104"/>
      <c r="G28" s="104"/>
      <c r="H28" s="109">
        <v>24</v>
      </c>
      <c r="I28" s="110">
        <f t="shared" si="3"/>
        <v>2765.3909934465105</v>
      </c>
      <c r="J28" s="113">
        <f t="shared" si="4"/>
        <v>36.871879912620145</v>
      </c>
      <c r="K28" s="110">
        <f t="shared" si="1"/>
        <v>58.301359770874953</v>
      </c>
      <c r="L28" s="110">
        <f t="shared" si="10"/>
        <v>95.173239683495098</v>
      </c>
      <c r="M28" s="108">
        <f>SUM(J17:J28)</f>
        <v>490.93644650991422</v>
      </c>
      <c r="N28" s="108">
        <f>SUM(K17:K28)</f>
        <v>651.14242969202689</v>
      </c>
      <c r="O28" s="108">
        <f t="shared" ref="O28" si="11">SUM(L17:L28)</f>
        <v>1142.0788762019413</v>
      </c>
      <c r="P28" s="104"/>
      <c r="Q28" s="104"/>
      <c r="R28" s="104"/>
      <c r="S28" s="104"/>
      <c r="T28" s="104"/>
      <c r="U28" s="104"/>
    </row>
    <row r="29" spans="2:21" x14ac:dyDescent="0.45">
      <c r="B29" s="104"/>
      <c r="C29" s="104"/>
      <c r="D29" s="104"/>
      <c r="E29" s="104"/>
      <c r="F29" s="104"/>
      <c r="G29" s="104"/>
      <c r="H29" s="109">
        <v>25</v>
      </c>
      <c r="I29" s="110">
        <f t="shared" si="3"/>
        <v>2707.0896336756355</v>
      </c>
      <c r="J29" s="114">
        <f t="shared" si="4"/>
        <v>36.094528449008472</v>
      </c>
      <c r="K29" s="110">
        <f t="shared" si="1"/>
        <v>59.078711234486626</v>
      </c>
      <c r="L29" s="110">
        <f t="shared" si="10"/>
        <v>95.173239683495098</v>
      </c>
      <c r="M29" s="104"/>
      <c r="N29" s="104"/>
      <c r="O29" s="104"/>
      <c r="P29" s="104"/>
      <c r="Q29" s="104"/>
      <c r="R29" s="104"/>
      <c r="S29" s="104"/>
      <c r="T29" s="104"/>
      <c r="U29" s="104"/>
    </row>
    <row r="30" spans="2:21" x14ac:dyDescent="0.45">
      <c r="B30" s="104"/>
      <c r="C30" s="104"/>
      <c r="D30" s="104"/>
      <c r="E30" s="104"/>
      <c r="F30" s="104"/>
      <c r="G30" s="104"/>
      <c r="H30" s="109">
        <v>26</v>
      </c>
      <c r="I30" s="110">
        <f t="shared" si="3"/>
        <v>2648.010922441149</v>
      </c>
      <c r="J30" s="114">
        <f t="shared" si="4"/>
        <v>35.306812299215323</v>
      </c>
      <c r="K30" s="110">
        <f t="shared" si="1"/>
        <v>59.866427384279774</v>
      </c>
      <c r="L30" s="110">
        <f t="shared" si="10"/>
        <v>95.173239683495098</v>
      </c>
      <c r="M30" s="104"/>
      <c r="N30" s="104"/>
      <c r="O30" s="104"/>
      <c r="P30" s="104"/>
      <c r="Q30" s="104"/>
      <c r="R30" s="104"/>
      <c r="S30" s="104"/>
      <c r="T30" s="104"/>
      <c r="U30" s="104"/>
    </row>
    <row r="31" spans="2:21" x14ac:dyDescent="0.45">
      <c r="B31" s="104"/>
      <c r="C31" s="104"/>
      <c r="D31" s="104"/>
      <c r="E31" s="104"/>
      <c r="F31" s="104"/>
      <c r="G31" s="104"/>
      <c r="H31" s="109">
        <v>27</v>
      </c>
      <c r="I31" s="110">
        <f t="shared" si="3"/>
        <v>2588.1444950568693</v>
      </c>
      <c r="J31" s="114">
        <f t="shared" si="4"/>
        <v>34.508593267424928</v>
      </c>
      <c r="K31" s="110">
        <f t="shared" si="1"/>
        <v>60.66464641607017</v>
      </c>
      <c r="L31" s="110">
        <f t="shared" si="10"/>
        <v>95.173239683495098</v>
      </c>
      <c r="M31" s="104"/>
      <c r="N31" s="104"/>
      <c r="O31" s="104"/>
      <c r="P31" s="104"/>
      <c r="Q31" s="104"/>
      <c r="R31" s="104"/>
      <c r="S31" s="104"/>
      <c r="T31" s="104"/>
      <c r="U31" s="104"/>
    </row>
    <row r="32" spans="2:21" x14ac:dyDescent="0.45">
      <c r="B32" s="104"/>
      <c r="C32" s="104"/>
      <c r="D32" s="104"/>
      <c r="E32" s="104"/>
      <c r="F32" s="104"/>
      <c r="G32" s="104"/>
      <c r="H32" s="109">
        <v>28</v>
      </c>
      <c r="I32" s="110">
        <f t="shared" si="3"/>
        <v>2527.479848640799</v>
      </c>
      <c r="J32" s="114">
        <f t="shared" si="4"/>
        <v>33.699731315210656</v>
      </c>
      <c r="K32" s="110">
        <f t="shared" si="1"/>
        <v>61.473508368284442</v>
      </c>
      <c r="L32" s="110">
        <f t="shared" si="10"/>
        <v>95.173239683495098</v>
      </c>
      <c r="M32" s="104"/>
      <c r="N32" s="104"/>
      <c r="O32" s="104"/>
      <c r="P32" s="104"/>
      <c r="Q32" s="104"/>
      <c r="R32" s="104"/>
      <c r="S32" s="104"/>
      <c r="T32" s="104"/>
      <c r="U32" s="104"/>
    </row>
    <row r="33" spans="2:21" x14ac:dyDescent="0.45">
      <c r="B33" s="104"/>
      <c r="C33" s="104"/>
      <c r="D33" s="104"/>
      <c r="E33" s="104"/>
      <c r="F33" s="104"/>
      <c r="G33" s="104"/>
      <c r="H33" s="109">
        <v>29</v>
      </c>
      <c r="I33" s="110">
        <f t="shared" si="3"/>
        <v>2466.0063402725145</v>
      </c>
      <c r="J33" s="114">
        <f t="shared" si="4"/>
        <v>32.880084536966862</v>
      </c>
      <c r="K33" s="110">
        <f t="shared" si="1"/>
        <v>62.293155146528235</v>
      </c>
      <c r="L33" s="110">
        <f t="shared" si="10"/>
        <v>95.173239683495098</v>
      </c>
      <c r="M33" s="104"/>
      <c r="N33" s="104"/>
      <c r="O33" s="104"/>
      <c r="P33" s="104"/>
      <c r="Q33" s="104"/>
      <c r="R33" s="104"/>
      <c r="S33" s="104"/>
      <c r="T33" s="104"/>
      <c r="U33" s="104"/>
    </row>
    <row r="34" spans="2:21" x14ac:dyDescent="0.45">
      <c r="B34" s="104"/>
      <c r="C34" s="104"/>
      <c r="D34" s="104"/>
      <c r="E34" s="104"/>
      <c r="F34" s="104"/>
      <c r="G34" s="104"/>
      <c r="H34" s="109">
        <v>30</v>
      </c>
      <c r="I34" s="110">
        <f t="shared" si="3"/>
        <v>2403.7131851259865</v>
      </c>
      <c r="J34" s="114">
        <f t="shared" si="4"/>
        <v>32.049509135013153</v>
      </c>
      <c r="K34" s="110">
        <f t="shared" si="1"/>
        <v>63.123730548481944</v>
      </c>
      <c r="L34" s="110">
        <f t="shared" si="10"/>
        <v>95.173239683495098</v>
      </c>
      <c r="M34" s="104"/>
      <c r="N34" s="104"/>
      <c r="O34" s="104"/>
      <c r="P34" s="104"/>
      <c r="Q34" s="104"/>
      <c r="R34" s="104"/>
      <c r="S34" s="104"/>
      <c r="T34" s="104"/>
      <c r="U34" s="104"/>
    </row>
    <row r="35" spans="2:21" x14ac:dyDescent="0.45">
      <c r="B35" s="104"/>
      <c r="C35" s="104"/>
      <c r="D35" s="104"/>
      <c r="E35" s="104"/>
      <c r="F35" s="104"/>
      <c r="G35" s="104"/>
      <c r="H35" s="109">
        <v>31</v>
      </c>
      <c r="I35" s="110">
        <f t="shared" si="3"/>
        <v>2340.5894545775045</v>
      </c>
      <c r="J35" s="114">
        <f t="shared" si="4"/>
        <v>31.207859394366729</v>
      </c>
      <c r="K35" s="110">
        <f t="shared" si="1"/>
        <v>63.965380289128369</v>
      </c>
      <c r="L35" s="110">
        <f t="shared" si="10"/>
        <v>95.173239683495098</v>
      </c>
      <c r="M35" s="104"/>
      <c r="N35" s="104"/>
      <c r="O35" s="104"/>
      <c r="P35" s="104"/>
      <c r="Q35" s="104"/>
      <c r="R35" s="104"/>
      <c r="S35" s="104"/>
      <c r="T35" s="104"/>
      <c r="U35" s="104"/>
    </row>
    <row r="36" spans="2:21" x14ac:dyDescent="0.45">
      <c r="B36" s="104"/>
      <c r="C36" s="104"/>
      <c r="D36" s="104"/>
      <c r="E36" s="104"/>
      <c r="F36" s="104"/>
      <c r="G36" s="104"/>
      <c r="H36" s="109">
        <v>32</v>
      </c>
      <c r="I36" s="110">
        <f t="shared" si="3"/>
        <v>2276.6240742883761</v>
      </c>
      <c r="J36" s="114">
        <f t="shared" si="4"/>
        <v>30.354987657178349</v>
      </c>
      <c r="K36" s="110">
        <f t="shared" si="1"/>
        <v>64.818252026316742</v>
      </c>
      <c r="L36" s="110">
        <f t="shared" si="10"/>
        <v>95.173239683495098</v>
      </c>
      <c r="M36" s="104"/>
      <c r="N36" s="104"/>
      <c r="O36" s="104"/>
      <c r="P36" s="104"/>
      <c r="Q36" s="104"/>
      <c r="R36" s="104"/>
      <c r="S36" s="104"/>
      <c r="T36" s="104"/>
      <c r="U36" s="104"/>
    </row>
    <row r="37" spans="2:21" x14ac:dyDescent="0.45">
      <c r="B37" s="104"/>
      <c r="C37" s="104"/>
      <c r="D37" s="104"/>
      <c r="E37" s="104"/>
      <c r="F37" s="104"/>
      <c r="G37" s="104"/>
      <c r="H37" s="109">
        <v>33</v>
      </c>
      <c r="I37" s="110">
        <f t="shared" si="3"/>
        <v>2211.8058222620593</v>
      </c>
      <c r="J37" s="114">
        <f t="shared" si="4"/>
        <v>29.490744296827458</v>
      </c>
      <c r="K37" s="110">
        <f t="shared" si="1"/>
        <v>65.68249538666764</v>
      </c>
      <c r="L37" s="110">
        <f t="shared" si="10"/>
        <v>95.173239683495098</v>
      </c>
      <c r="M37" s="104"/>
      <c r="N37" s="104"/>
      <c r="O37" s="104"/>
      <c r="P37" s="104"/>
      <c r="Q37" s="104"/>
      <c r="R37" s="104"/>
      <c r="S37" s="104"/>
      <c r="T37" s="104"/>
      <c r="U37" s="104"/>
    </row>
    <row r="38" spans="2:21" x14ac:dyDescent="0.45">
      <c r="B38" s="104"/>
      <c r="C38" s="104"/>
      <c r="D38" s="104"/>
      <c r="E38" s="104"/>
      <c r="F38" s="104"/>
      <c r="G38" s="104"/>
      <c r="H38" s="109">
        <v>34</v>
      </c>
      <c r="I38" s="110">
        <f t="shared" si="3"/>
        <v>2146.1233268753917</v>
      </c>
      <c r="J38" s="114">
        <f t="shared" si="4"/>
        <v>28.614977691671893</v>
      </c>
      <c r="K38" s="110">
        <f t="shared" si="1"/>
        <v>66.558261991823201</v>
      </c>
      <c r="L38" s="110">
        <f t="shared" si="10"/>
        <v>95.173239683495098</v>
      </c>
      <c r="M38" s="104"/>
      <c r="N38" s="104"/>
      <c r="O38" s="104"/>
      <c r="P38" s="104"/>
      <c r="Q38" s="104"/>
      <c r="R38" s="104"/>
      <c r="S38" s="104"/>
      <c r="T38" s="104"/>
      <c r="U38" s="104"/>
    </row>
    <row r="39" spans="2:21" x14ac:dyDescent="0.45">
      <c r="B39" s="104"/>
      <c r="C39" s="104"/>
      <c r="D39" s="104"/>
      <c r="E39" s="104"/>
      <c r="F39" s="104"/>
      <c r="G39" s="104"/>
      <c r="H39" s="109">
        <v>35</v>
      </c>
      <c r="I39" s="110">
        <f t="shared" si="3"/>
        <v>2079.5650648835685</v>
      </c>
      <c r="J39" s="114">
        <f t="shared" si="4"/>
        <v>27.727534198447582</v>
      </c>
      <c r="K39" s="110">
        <f t="shared" si="1"/>
        <v>67.445705485047512</v>
      </c>
      <c r="L39" s="110">
        <f t="shared" si="10"/>
        <v>95.173239683495098</v>
      </c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21" x14ac:dyDescent="0.45">
      <c r="B40" s="104"/>
      <c r="C40" s="104"/>
      <c r="D40" s="104"/>
      <c r="E40" s="104"/>
      <c r="F40" s="104"/>
      <c r="G40" s="104"/>
      <c r="H40" s="109">
        <v>36</v>
      </c>
      <c r="I40" s="110">
        <f t="shared" si="3"/>
        <v>2012.1193593985211</v>
      </c>
      <c r="J40" s="114">
        <f t="shared" si="4"/>
        <v>26.828258125313617</v>
      </c>
      <c r="K40" s="110">
        <f t="shared" si="1"/>
        <v>68.344981558181473</v>
      </c>
      <c r="L40" s="110">
        <f t="shared" si="10"/>
        <v>95.173239683495098</v>
      </c>
      <c r="M40" s="108">
        <f>SUM(J29:J40)</f>
        <v>378.76362036664494</v>
      </c>
      <c r="N40" s="108">
        <f>SUM(K29:K40)</f>
        <v>763.31525583529606</v>
      </c>
      <c r="O40" s="108">
        <f t="shared" ref="O40" si="12">SUM(L29:L40)</f>
        <v>1142.0788762019413</v>
      </c>
      <c r="P40" s="104"/>
      <c r="Q40" s="104"/>
      <c r="R40" s="104"/>
      <c r="S40" s="104"/>
      <c r="T40" s="104"/>
      <c r="U40" s="104"/>
    </row>
    <row r="41" spans="2:21" x14ac:dyDescent="0.45">
      <c r="B41" s="104"/>
      <c r="C41" s="104"/>
      <c r="D41" s="104"/>
      <c r="E41" s="104"/>
      <c r="F41" s="104"/>
      <c r="G41" s="104"/>
      <c r="H41" s="109">
        <v>37</v>
      </c>
      <c r="I41" s="110">
        <f t="shared" si="3"/>
        <v>1943.7743778403396</v>
      </c>
      <c r="J41" s="115">
        <f t="shared" si="4"/>
        <v>25.916991704537864</v>
      </c>
      <c r="K41" s="110">
        <f t="shared" si="1"/>
        <v>69.256247978957234</v>
      </c>
      <c r="L41" s="110">
        <f t="shared" si="10"/>
        <v>95.173239683495098</v>
      </c>
      <c r="M41" s="104"/>
      <c r="N41" s="104"/>
      <c r="O41" s="104"/>
      <c r="P41" s="104"/>
      <c r="Q41" s="104"/>
      <c r="R41" s="104"/>
      <c r="S41" s="104"/>
      <c r="T41" s="104"/>
      <c r="U41" s="104"/>
    </row>
    <row r="42" spans="2:21" x14ac:dyDescent="0.45">
      <c r="B42" s="104"/>
      <c r="C42" s="104"/>
      <c r="D42" s="104"/>
      <c r="E42" s="104"/>
      <c r="F42" s="104"/>
      <c r="G42" s="104"/>
      <c r="H42" s="109">
        <v>38</v>
      </c>
      <c r="I42" s="110">
        <f t="shared" si="3"/>
        <v>1874.5181298613825</v>
      </c>
      <c r="J42" s="115">
        <f t="shared" si="4"/>
        <v>24.993575064818433</v>
      </c>
      <c r="K42" s="110">
        <f t="shared" si="1"/>
        <v>70.179664618676668</v>
      </c>
      <c r="L42" s="110">
        <f t="shared" si="10"/>
        <v>95.173239683495098</v>
      </c>
      <c r="M42" s="104"/>
      <c r="N42" s="104"/>
      <c r="O42" s="104"/>
      <c r="P42" s="104"/>
      <c r="Q42" s="104"/>
      <c r="R42" s="104"/>
      <c r="S42" s="104"/>
      <c r="T42" s="104"/>
      <c r="U42" s="104"/>
    </row>
    <row r="43" spans="2:21" x14ac:dyDescent="0.45">
      <c r="B43" s="104"/>
      <c r="C43" s="104"/>
      <c r="D43" s="104"/>
      <c r="E43" s="104"/>
      <c r="F43" s="104"/>
      <c r="G43" s="104"/>
      <c r="H43" s="109">
        <v>39</v>
      </c>
      <c r="I43" s="110">
        <f t="shared" si="3"/>
        <v>1804.3384652427058</v>
      </c>
      <c r="J43" s="115">
        <f t="shared" si="4"/>
        <v>24.057846203236078</v>
      </c>
      <c r="K43" s="110">
        <f t="shared" si="1"/>
        <v>71.115393480259016</v>
      </c>
      <c r="L43" s="110">
        <f t="shared" si="10"/>
        <v>95.173239683495098</v>
      </c>
      <c r="M43" s="104"/>
      <c r="N43" s="104"/>
      <c r="O43" s="104"/>
      <c r="P43" s="104"/>
      <c r="Q43" s="104"/>
      <c r="R43" s="104"/>
      <c r="S43" s="104"/>
      <c r="T43" s="104"/>
      <c r="U43" s="104"/>
    </row>
    <row r="44" spans="2:21" x14ac:dyDescent="0.45">
      <c r="B44" s="104"/>
      <c r="C44" s="104"/>
      <c r="D44" s="104"/>
      <c r="E44" s="104"/>
      <c r="F44" s="104"/>
      <c r="G44" s="104"/>
      <c r="H44" s="109">
        <v>40</v>
      </c>
      <c r="I44" s="110">
        <f t="shared" si="3"/>
        <v>1733.2230717624468</v>
      </c>
      <c r="J44" s="115">
        <f t="shared" si="4"/>
        <v>23.109640956832624</v>
      </c>
      <c r="K44" s="110">
        <f t="shared" si="1"/>
        <v>72.063598726662477</v>
      </c>
      <c r="L44" s="110">
        <f t="shared" si="10"/>
        <v>95.173239683495098</v>
      </c>
      <c r="M44" s="104"/>
      <c r="N44" s="104"/>
      <c r="O44" s="104"/>
      <c r="P44" s="104"/>
      <c r="Q44" s="104"/>
      <c r="R44" s="104"/>
      <c r="S44" s="104"/>
      <c r="T44" s="104"/>
      <c r="U44" s="104"/>
    </row>
    <row r="45" spans="2:21" x14ac:dyDescent="0.45">
      <c r="B45" s="104"/>
      <c r="C45" s="104"/>
      <c r="D45" s="104"/>
      <c r="E45" s="104"/>
      <c r="F45" s="104"/>
      <c r="G45" s="104"/>
      <c r="H45" s="109">
        <v>41</v>
      </c>
      <c r="I45" s="110">
        <f t="shared" si="3"/>
        <v>1661.1594730357842</v>
      </c>
      <c r="J45" s="115">
        <f t="shared" si="4"/>
        <v>22.148792973810458</v>
      </c>
      <c r="K45" s="110">
        <f t="shared" si="1"/>
        <v>73.024446709684639</v>
      </c>
      <c r="L45" s="110">
        <f t="shared" si="10"/>
        <v>95.173239683495098</v>
      </c>
      <c r="M45" s="104"/>
      <c r="N45" s="104"/>
      <c r="O45" s="104"/>
      <c r="P45" s="104"/>
      <c r="Q45" s="104"/>
      <c r="R45" s="104"/>
      <c r="S45" s="104"/>
      <c r="T45" s="104"/>
      <c r="U45" s="104"/>
    </row>
    <row r="46" spans="2:21" x14ac:dyDescent="0.45">
      <c r="B46" s="104"/>
      <c r="C46" s="104"/>
      <c r="D46" s="104"/>
      <c r="E46" s="104"/>
      <c r="F46" s="104"/>
      <c r="G46" s="104"/>
      <c r="H46" s="109">
        <v>42</v>
      </c>
      <c r="I46" s="110">
        <f t="shared" si="3"/>
        <v>1588.1350263260997</v>
      </c>
      <c r="J46" s="115">
        <f t="shared" si="4"/>
        <v>21.175133684347998</v>
      </c>
      <c r="K46" s="110">
        <f t="shared" si="1"/>
        <v>73.9981059991471</v>
      </c>
      <c r="L46" s="110">
        <f t="shared" si="10"/>
        <v>95.173239683495098</v>
      </c>
      <c r="M46" s="104"/>
      <c r="N46" s="104"/>
      <c r="O46" s="104"/>
      <c r="P46" s="104"/>
      <c r="Q46" s="104"/>
      <c r="R46" s="104"/>
      <c r="S46" s="104"/>
      <c r="T46" s="104"/>
      <c r="U46" s="104"/>
    </row>
    <row r="47" spans="2:21" x14ac:dyDescent="0.45">
      <c r="B47" s="104"/>
      <c r="C47" s="104"/>
      <c r="D47" s="104"/>
      <c r="E47" s="104"/>
      <c r="F47" s="104"/>
      <c r="G47" s="104"/>
      <c r="H47" s="109">
        <v>43</v>
      </c>
      <c r="I47" s="110">
        <f t="shared" si="3"/>
        <v>1514.1369203269526</v>
      </c>
      <c r="J47" s="115">
        <f t="shared" si="4"/>
        <v>20.188492271026035</v>
      </c>
      <c r="K47" s="110">
        <f t="shared" si="1"/>
        <v>74.984747412469062</v>
      </c>
      <c r="L47" s="110">
        <f t="shared" si="10"/>
        <v>95.173239683495098</v>
      </c>
      <c r="M47" s="104"/>
      <c r="N47" s="104"/>
      <c r="O47" s="104"/>
      <c r="P47" s="104"/>
      <c r="Q47" s="104"/>
      <c r="R47" s="104"/>
      <c r="S47" s="104"/>
      <c r="T47" s="104"/>
      <c r="U47" s="104"/>
    </row>
    <row r="48" spans="2:21" x14ac:dyDescent="0.45">
      <c r="B48" s="104"/>
      <c r="C48" s="104"/>
      <c r="D48" s="104"/>
      <c r="E48" s="104"/>
      <c r="F48" s="104"/>
      <c r="G48" s="104"/>
      <c r="H48" s="109">
        <v>44</v>
      </c>
      <c r="I48" s="110">
        <f t="shared" si="3"/>
        <v>1439.1521729144836</v>
      </c>
      <c r="J48" s="115">
        <f t="shared" si="4"/>
        <v>19.188695638859784</v>
      </c>
      <c r="K48" s="110">
        <f t="shared" si="1"/>
        <v>75.984544044635314</v>
      </c>
      <c r="L48" s="110">
        <f t="shared" si="10"/>
        <v>95.173239683495098</v>
      </c>
      <c r="M48" s="104"/>
      <c r="N48" s="104"/>
      <c r="O48" s="104"/>
      <c r="P48" s="104"/>
      <c r="Q48" s="104"/>
      <c r="R48" s="104"/>
      <c r="S48" s="104"/>
      <c r="T48" s="104"/>
      <c r="U48" s="104"/>
    </row>
    <row r="49" spans="2:21" x14ac:dyDescent="0.45">
      <c r="B49" s="104"/>
      <c r="C49" s="104"/>
      <c r="D49" s="104"/>
      <c r="E49" s="104"/>
      <c r="F49" s="104"/>
      <c r="G49" s="104"/>
      <c r="H49" s="109">
        <v>45</v>
      </c>
      <c r="I49" s="110">
        <f t="shared" si="3"/>
        <v>1363.1676288698482</v>
      </c>
      <c r="J49" s="115">
        <f t="shared" si="4"/>
        <v>18.17556838493131</v>
      </c>
      <c r="K49" s="110">
        <f t="shared" si="1"/>
        <v>76.997671298563787</v>
      </c>
      <c r="L49" s="110">
        <f t="shared" si="10"/>
        <v>95.173239683495098</v>
      </c>
      <c r="M49" s="104"/>
      <c r="N49" s="104"/>
      <c r="O49" s="104"/>
      <c r="P49" s="104"/>
      <c r="Q49" s="104"/>
      <c r="R49" s="104"/>
      <c r="S49" s="104"/>
      <c r="T49" s="104"/>
      <c r="U49" s="104"/>
    </row>
    <row r="50" spans="2:21" x14ac:dyDescent="0.45">
      <c r="B50" s="104"/>
      <c r="C50" s="104"/>
      <c r="D50" s="104"/>
      <c r="E50" s="104"/>
      <c r="F50" s="104"/>
      <c r="G50" s="104"/>
      <c r="H50" s="109">
        <v>46</v>
      </c>
      <c r="I50" s="110">
        <f t="shared" si="3"/>
        <v>1286.1699575712844</v>
      </c>
      <c r="J50" s="115">
        <f t="shared" si="4"/>
        <v>17.148932767617126</v>
      </c>
      <c r="K50" s="110">
        <f t="shared" si="1"/>
        <v>78.024306915877972</v>
      </c>
      <c r="L50" s="110">
        <f t="shared" si="10"/>
        <v>95.173239683495098</v>
      </c>
      <c r="M50" s="104"/>
      <c r="N50" s="104"/>
      <c r="O50" s="104"/>
      <c r="P50" s="104"/>
      <c r="Q50" s="104"/>
      <c r="R50" s="104"/>
      <c r="S50" s="104"/>
      <c r="T50" s="104"/>
      <c r="U50" s="104"/>
    </row>
    <row r="51" spans="2:21" x14ac:dyDescent="0.45">
      <c r="B51" s="104"/>
      <c r="C51" s="104"/>
      <c r="D51" s="104"/>
      <c r="E51" s="104"/>
      <c r="F51" s="104"/>
      <c r="G51" s="104"/>
      <c r="H51" s="109">
        <v>47</v>
      </c>
      <c r="I51" s="110">
        <f t="shared" si="3"/>
        <v>1208.1456506554064</v>
      </c>
      <c r="J51" s="115">
        <f t="shared" si="4"/>
        <v>16.108608675405421</v>
      </c>
      <c r="K51" s="110">
        <f t="shared" si="1"/>
        <v>79.064631008089677</v>
      </c>
      <c r="L51" s="110">
        <f t="shared" si="10"/>
        <v>95.173239683495098</v>
      </c>
      <c r="M51" s="104"/>
      <c r="N51" s="104"/>
      <c r="O51" s="104"/>
      <c r="P51" s="104"/>
      <c r="Q51" s="104"/>
      <c r="R51" s="104"/>
      <c r="S51" s="104"/>
      <c r="T51" s="104"/>
      <c r="U51" s="104"/>
    </row>
    <row r="52" spans="2:21" x14ac:dyDescent="0.45">
      <c r="B52" s="104"/>
      <c r="C52" s="104"/>
      <c r="D52" s="104"/>
      <c r="E52" s="104"/>
      <c r="F52" s="104"/>
      <c r="G52" s="104"/>
      <c r="H52" s="109">
        <v>48</v>
      </c>
      <c r="I52" s="110">
        <f t="shared" si="3"/>
        <v>1129.0810196473167</v>
      </c>
      <c r="J52" s="115">
        <f t="shared" si="4"/>
        <v>15.054413595297557</v>
      </c>
      <c r="K52" s="110">
        <f t="shared" si="1"/>
        <v>80.118826088197537</v>
      </c>
      <c r="L52" s="110">
        <f t="shared" si="10"/>
        <v>95.173239683495098</v>
      </c>
      <c r="M52" s="108">
        <f>SUM(J41:J52)</f>
        <v>247.26669192072069</v>
      </c>
      <c r="N52" s="108">
        <f>SUM(K41:K52)</f>
        <v>894.81218428122054</v>
      </c>
      <c r="O52" s="108">
        <f t="shared" ref="O52" si="13">SUM(L41:L52)</f>
        <v>1142.0788762019413</v>
      </c>
      <c r="P52" s="104"/>
      <c r="Q52" s="104"/>
      <c r="R52" s="104"/>
      <c r="S52" s="104"/>
      <c r="T52" s="104"/>
      <c r="U52" s="104"/>
    </row>
    <row r="53" spans="2:21" x14ac:dyDescent="0.45">
      <c r="B53" s="104"/>
      <c r="C53" s="104"/>
      <c r="D53" s="104"/>
      <c r="E53" s="104"/>
      <c r="F53" s="104"/>
      <c r="G53" s="104"/>
      <c r="H53" s="109">
        <v>49</v>
      </c>
      <c r="I53" s="110">
        <f t="shared" si="3"/>
        <v>1048.9621935591192</v>
      </c>
      <c r="J53" s="116">
        <f t="shared" si="4"/>
        <v>13.986162580788257</v>
      </c>
      <c r="K53" s="110">
        <f t="shared" si="1"/>
        <v>81.187077102706837</v>
      </c>
      <c r="L53" s="110">
        <f t="shared" si="10"/>
        <v>95.173239683495098</v>
      </c>
      <c r="M53" s="104"/>
      <c r="N53" s="104"/>
      <c r="O53" s="104"/>
      <c r="P53" s="104"/>
      <c r="Q53" s="104"/>
      <c r="R53" s="104"/>
      <c r="S53" s="104"/>
      <c r="T53" s="104"/>
      <c r="U53" s="104"/>
    </row>
    <row r="54" spans="2:21" x14ac:dyDescent="0.45">
      <c r="B54" s="104"/>
      <c r="C54" s="104"/>
      <c r="D54" s="104"/>
      <c r="E54" s="104"/>
      <c r="F54" s="104"/>
      <c r="G54" s="104"/>
      <c r="H54" s="109">
        <v>50</v>
      </c>
      <c r="I54" s="110">
        <f t="shared" si="3"/>
        <v>967.77511645641243</v>
      </c>
      <c r="J54" s="116">
        <f t="shared" si="4"/>
        <v>12.903668219418833</v>
      </c>
      <c r="K54" s="110">
        <f t="shared" si="1"/>
        <v>82.269571464076265</v>
      </c>
      <c r="L54" s="110">
        <f t="shared" si="10"/>
        <v>95.173239683495098</v>
      </c>
      <c r="M54" s="104"/>
      <c r="N54" s="104"/>
      <c r="O54" s="104"/>
      <c r="P54" s="104"/>
      <c r="Q54" s="104"/>
      <c r="R54" s="104"/>
      <c r="S54" s="104"/>
      <c r="T54" s="104"/>
      <c r="U54" s="104"/>
    </row>
    <row r="55" spans="2:21" x14ac:dyDescent="0.45">
      <c r="B55" s="104"/>
      <c r="C55" s="104"/>
      <c r="D55" s="104"/>
      <c r="E55" s="104"/>
      <c r="F55" s="104"/>
      <c r="G55" s="104"/>
      <c r="H55" s="109">
        <v>51</v>
      </c>
      <c r="I55" s="110">
        <f t="shared" si="3"/>
        <v>885.50554499233613</v>
      </c>
      <c r="J55" s="116">
        <f t="shared" si="4"/>
        <v>11.806740599897816</v>
      </c>
      <c r="K55" s="110">
        <f t="shared" si="1"/>
        <v>83.366499083597276</v>
      </c>
      <c r="L55" s="110">
        <f t="shared" si="10"/>
        <v>95.173239683495098</v>
      </c>
      <c r="M55" s="104"/>
      <c r="N55" s="104"/>
      <c r="O55" s="104"/>
      <c r="P55" s="104"/>
      <c r="Q55" s="104"/>
      <c r="R55" s="104"/>
      <c r="S55" s="104"/>
      <c r="T55" s="104"/>
      <c r="U55" s="104"/>
    </row>
    <row r="56" spans="2:21" x14ac:dyDescent="0.45">
      <c r="B56" s="104"/>
      <c r="C56" s="104"/>
      <c r="D56" s="104"/>
      <c r="E56" s="104"/>
      <c r="F56" s="104"/>
      <c r="G56" s="104"/>
      <c r="H56" s="109">
        <v>52</v>
      </c>
      <c r="I56" s="110">
        <f t="shared" si="3"/>
        <v>802.13904590873881</v>
      </c>
      <c r="J56" s="116">
        <f t="shared" si="4"/>
        <v>10.695187278783186</v>
      </c>
      <c r="K56" s="110">
        <f t="shared" si="1"/>
        <v>84.478052404711917</v>
      </c>
      <c r="L56" s="110">
        <f t="shared" si="10"/>
        <v>95.173239683495098</v>
      </c>
      <c r="M56" s="104"/>
      <c r="N56" s="104"/>
      <c r="O56" s="104"/>
      <c r="P56" s="104"/>
      <c r="Q56" s="104"/>
      <c r="R56" s="104"/>
      <c r="S56" s="104"/>
      <c r="T56" s="104"/>
      <c r="U56" s="104"/>
    </row>
    <row r="57" spans="2:21" x14ac:dyDescent="0.45">
      <c r="B57" s="104"/>
      <c r="C57" s="104"/>
      <c r="D57" s="104"/>
      <c r="E57" s="104"/>
      <c r="F57" s="104"/>
      <c r="G57" s="104"/>
      <c r="H57" s="109">
        <v>53</v>
      </c>
      <c r="I57" s="110">
        <f t="shared" si="3"/>
        <v>717.66099350402692</v>
      </c>
      <c r="J57" s="116">
        <f t="shared" si="4"/>
        <v>9.5688132467203602</v>
      </c>
      <c r="K57" s="110">
        <f t="shared" si="1"/>
        <v>85.60442643677473</v>
      </c>
      <c r="L57" s="110">
        <f t="shared" si="10"/>
        <v>95.173239683495098</v>
      </c>
      <c r="M57" s="104"/>
      <c r="N57" s="104"/>
      <c r="O57" s="104"/>
      <c r="P57" s="104"/>
      <c r="Q57" s="104"/>
      <c r="R57" s="104"/>
      <c r="S57" s="104"/>
      <c r="T57" s="104"/>
      <c r="U57" s="104"/>
    </row>
    <row r="58" spans="2:21" x14ac:dyDescent="0.45">
      <c r="B58" s="104"/>
      <c r="C58" s="104"/>
      <c r="D58" s="104"/>
      <c r="E58" s="104"/>
      <c r="F58" s="104"/>
      <c r="G58" s="104"/>
      <c r="H58" s="109">
        <v>54</v>
      </c>
      <c r="I58" s="110">
        <f t="shared" si="3"/>
        <v>632.05656706725222</v>
      </c>
      <c r="J58" s="116">
        <f t="shared" si="4"/>
        <v>8.4274208942300302</v>
      </c>
      <c r="K58" s="110">
        <f t="shared" si="1"/>
        <v>86.745818789265073</v>
      </c>
      <c r="L58" s="110">
        <f t="shared" si="10"/>
        <v>95.173239683495098</v>
      </c>
      <c r="M58" s="104"/>
      <c r="N58" s="104"/>
      <c r="O58" s="104"/>
      <c r="P58" s="104"/>
      <c r="Q58" s="104"/>
      <c r="R58" s="104"/>
      <c r="S58" s="104"/>
      <c r="T58" s="104"/>
      <c r="U58" s="104"/>
    </row>
    <row r="59" spans="2:21" x14ac:dyDescent="0.45">
      <c r="B59" s="104"/>
      <c r="C59" s="104"/>
      <c r="D59" s="104"/>
      <c r="E59" s="104"/>
      <c r="F59" s="104"/>
      <c r="G59" s="104"/>
      <c r="H59" s="109">
        <v>55</v>
      </c>
      <c r="I59" s="110">
        <f t="shared" si="3"/>
        <v>545.31074827798716</v>
      </c>
      <c r="J59" s="116">
        <f t="shared" si="4"/>
        <v>7.2708099770398293</v>
      </c>
      <c r="K59" s="110">
        <f t="shared" si="1"/>
        <v>87.902429706455266</v>
      </c>
      <c r="L59" s="110">
        <f t="shared" si="10"/>
        <v>95.173239683495098</v>
      </c>
      <c r="M59" s="104"/>
      <c r="N59" s="104"/>
      <c r="O59" s="104"/>
      <c r="P59" s="104"/>
      <c r="Q59" s="104"/>
      <c r="R59" s="104"/>
      <c r="S59" s="104"/>
      <c r="T59" s="104"/>
      <c r="U59" s="104"/>
    </row>
    <row r="60" spans="2:21" x14ac:dyDescent="0.45">
      <c r="B60" s="104"/>
      <c r="C60" s="104"/>
      <c r="D60" s="104"/>
      <c r="E60" s="104"/>
      <c r="F60" s="104"/>
      <c r="G60" s="104"/>
      <c r="H60" s="109">
        <v>56</v>
      </c>
      <c r="I60" s="110">
        <f t="shared" si="3"/>
        <v>457.40831857153188</v>
      </c>
      <c r="J60" s="116">
        <f t="shared" si="4"/>
        <v>6.098777580953759</v>
      </c>
      <c r="K60" s="110">
        <f t="shared" si="1"/>
        <v>89.074462102541332</v>
      </c>
      <c r="L60" s="110">
        <f t="shared" si="10"/>
        <v>95.173239683495098</v>
      </c>
      <c r="M60" s="104"/>
      <c r="N60" s="104"/>
      <c r="O60" s="104"/>
      <c r="P60" s="104"/>
      <c r="Q60" s="104"/>
      <c r="R60" s="104"/>
      <c r="S60" s="104"/>
      <c r="T60" s="104"/>
      <c r="U60" s="104"/>
    </row>
    <row r="61" spans="2:21" x14ac:dyDescent="0.45">
      <c r="B61" s="104"/>
      <c r="C61" s="104"/>
      <c r="D61" s="104"/>
      <c r="E61" s="104"/>
      <c r="F61" s="104"/>
      <c r="G61" s="104"/>
      <c r="H61" s="109">
        <v>57</v>
      </c>
      <c r="I61" s="110">
        <f t="shared" si="3"/>
        <v>368.33385646899058</v>
      </c>
      <c r="J61" s="116">
        <f t="shared" si="4"/>
        <v>4.9111180862532091</v>
      </c>
      <c r="K61" s="110">
        <f t="shared" si="1"/>
        <v>90.262121597241887</v>
      </c>
      <c r="L61" s="110">
        <f t="shared" si="10"/>
        <v>95.173239683495098</v>
      </c>
      <c r="M61" s="104"/>
      <c r="N61" s="104"/>
      <c r="O61" s="104"/>
      <c r="P61" s="104"/>
      <c r="Q61" s="104"/>
      <c r="R61" s="104"/>
      <c r="S61" s="104"/>
      <c r="T61" s="104"/>
      <c r="U61" s="104"/>
    </row>
    <row r="62" spans="2:21" x14ac:dyDescent="0.45">
      <c r="B62" s="104"/>
      <c r="C62" s="104"/>
      <c r="D62" s="104"/>
      <c r="E62" s="104"/>
      <c r="F62" s="104"/>
      <c r="G62" s="104"/>
      <c r="H62" s="109">
        <v>58</v>
      </c>
      <c r="I62" s="110">
        <f t="shared" si="3"/>
        <v>278.07173487174867</v>
      </c>
      <c r="J62" s="116">
        <f t="shared" si="4"/>
        <v>3.7076231316233157</v>
      </c>
      <c r="K62" s="110">
        <f t="shared" si="1"/>
        <v>91.465616551871776</v>
      </c>
      <c r="L62" s="110">
        <f t="shared" si="10"/>
        <v>95.173239683495098</v>
      </c>
      <c r="M62" s="104"/>
      <c r="N62" s="104"/>
      <c r="O62" s="104"/>
      <c r="P62" s="104"/>
      <c r="Q62" s="104"/>
      <c r="R62" s="104"/>
      <c r="S62" s="104"/>
      <c r="T62" s="104"/>
      <c r="U62" s="104"/>
    </row>
    <row r="63" spans="2:21" x14ac:dyDescent="0.45">
      <c r="B63" s="104"/>
      <c r="C63" s="104"/>
      <c r="D63" s="104"/>
      <c r="E63" s="104"/>
      <c r="F63" s="104"/>
      <c r="G63" s="104"/>
      <c r="H63" s="109">
        <v>59</v>
      </c>
      <c r="I63" s="110">
        <f t="shared" si="3"/>
        <v>186.60611831987688</v>
      </c>
      <c r="J63" s="116">
        <f t="shared" si="4"/>
        <v>2.4880815775983587</v>
      </c>
      <c r="K63" s="110">
        <f t="shared" si="1"/>
        <v>92.685158105896733</v>
      </c>
      <c r="L63" s="110">
        <f t="shared" si="10"/>
        <v>95.173239683495098</v>
      </c>
      <c r="M63" s="104"/>
      <c r="N63" s="104"/>
      <c r="O63" s="104"/>
      <c r="P63" s="104"/>
      <c r="Q63" s="104"/>
      <c r="R63" s="104"/>
      <c r="S63" s="104"/>
      <c r="T63" s="104"/>
      <c r="U63" s="104"/>
    </row>
    <row r="64" spans="2:21" x14ac:dyDescent="0.45">
      <c r="B64" s="104"/>
      <c r="C64" s="104"/>
      <c r="D64" s="104"/>
      <c r="E64" s="104"/>
      <c r="F64" s="104"/>
      <c r="G64" s="104"/>
      <c r="H64" s="109">
        <v>60</v>
      </c>
      <c r="I64" s="110">
        <f t="shared" si="3"/>
        <v>93.920960213980152</v>
      </c>
      <c r="J64" s="116">
        <f t="shared" si="4"/>
        <v>1.2522794695197355</v>
      </c>
      <c r="K64" s="110">
        <f>L64-J64</f>
        <v>93.920960213975363</v>
      </c>
      <c r="L64" s="110">
        <f t="shared" si="10"/>
        <v>95.173239683495098</v>
      </c>
      <c r="M64" s="108">
        <f>SUM(J53:J64)</f>
        <v>93.116682642826717</v>
      </c>
      <c r="N64" s="108">
        <f>SUM(K53:K64)</f>
        <v>1048.9621935591144</v>
      </c>
      <c r="O64" s="108">
        <f t="shared" ref="O64" si="14">SUM(L53:L64)</f>
        <v>1142.0788762019413</v>
      </c>
      <c r="P64" s="104"/>
      <c r="Q64" s="104"/>
      <c r="R64" s="104"/>
      <c r="S64" s="104"/>
      <c r="T64" s="104"/>
      <c r="U64" s="104"/>
    </row>
    <row r="65" spans="2:21" x14ac:dyDescent="0.45">
      <c r="B65" s="104"/>
      <c r="C65" s="104"/>
      <c r="D65" s="104"/>
      <c r="E65" s="104"/>
      <c r="F65" s="104"/>
      <c r="G65" s="104"/>
      <c r="H65" s="105" t="s">
        <v>54</v>
      </c>
      <c r="I65" s="110"/>
      <c r="J65" s="110">
        <f>SUM(J5:J64)</f>
        <v>1796.7083810097088</v>
      </c>
      <c r="K65" s="110">
        <f t="shared" ref="K65:L65" si="15">SUM(K5:K64)</f>
        <v>3913.685999999997</v>
      </c>
      <c r="L65" s="110">
        <f t="shared" si="15"/>
        <v>5710.3943810097026</v>
      </c>
      <c r="M65" s="104"/>
      <c r="N65" s="104"/>
      <c r="O65" s="104"/>
      <c r="P65" s="104"/>
      <c r="Q65" s="104"/>
      <c r="R65" s="104"/>
      <c r="S65" s="104"/>
      <c r="T65" s="104"/>
      <c r="U65" s="104"/>
    </row>
    <row r="66" spans="2:21" x14ac:dyDescent="0.4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</row>
    <row r="67" spans="2:21" x14ac:dyDescent="0.45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</row>
    <row r="68" spans="2:21" x14ac:dyDescent="0.45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</row>
    <row r="69" spans="2:21" x14ac:dyDescent="0.45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</row>
    <row r="70" spans="2:21" x14ac:dyDescent="0.45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</row>
    <row r="71" spans="2:21" x14ac:dyDescent="0.45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</row>
    <row r="72" spans="2:21" x14ac:dyDescent="0.45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</row>
    <row r="73" spans="2:21" x14ac:dyDescent="0.45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</row>
    <row r="74" spans="2:21" x14ac:dyDescent="0.45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</row>
    <row r="75" spans="2:21" x14ac:dyDescent="0.45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6" spans="2:21" x14ac:dyDescent="0.45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</row>
    <row r="77" spans="2:21" x14ac:dyDescent="0.45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</row>
    <row r="78" spans="2:21" x14ac:dyDescent="0.45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</row>
    <row r="79" spans="2:21" x14ac:dyDescent="0.45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</row>
    <row r="80" spans="2:21" x14ac:dyDescent="0.45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</row>
    <row r="81" spans="2:21" x14ac:dyDescent="0.45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</row>
    <row r="82" spans="2:21" x14ac:dyDescent="0.45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</row>
    <row r="83" spans="2:21" x14ac:dyDescent="0.45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</row>
    <row r="84" spans="2:21" x14ac:dyDescent="0.45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</row>
    <row r="85" spans="2:21" x14ac:dyDescent="0.45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</row>
    <row r="86" spans="2:21" x14ac:dyDescent="0.45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</row>
    <row r="87" spans="2:21" x14ac:dyDescent="0.45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</row>
    <row r="88" spans="2:21" x14ac:dyDescent="0.45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</row>
    <row r="89" spans="2:21" x14ac:dyDescent="0.45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</row>
    <row r="90" spans="2:21" x14ac:dyDescent="0.45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</row>
    <row r="91" spans="2:21" x14ac:dyDescent="0.45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</row>
    <row r="92" spans="2:21" x14ac:dyDescent="0.45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</row>
    <row r="93" spans="2:21" x14ac:dyDescent="0.45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</row>
    <row r="94" spans="2:21" x14ac:dyDescent="0.45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</row>
    <row r="95" spans="2:21" x14ac:dyDescent="0.45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</row>
    <row r="96" spans="2:21" x14ac:dyDescent="0.45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</row>
    <row r="97" spans="2:21" x14ac:dyDescent="0.45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</row>
    <row r="98" spans="2:21" x14ac:dyDescent="0.45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</row>
    <row r="99" spans="2:21" x14ac:dyDescent="0.45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</row>
    <row r="100" spans="2:21" x14ac:dyDescent="0.45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</row>
    <row r="101" spans="2:21" x14ac:dyDescent="0.45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</row>
    <row r="102" spans="2:21" x14ac:dyDescent="0.45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</row>
    <row r="103" spans="2:21" x14ac:dyDescent="0.45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</row>
    <row r="104" spans="2:21" x14ac:dyDescent="0.45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</row>
    <row r="105" spans="2:21" x14ac:dyDescent="0.45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</row>
    <row r="106" spans="2:21" x14ac:dyDescent="0.45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</row>
    <row r="107" spans="2:21" x14ac:dyDescent="0.45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</row>
    <row r="108" spans="2:21" x14ac:dyDescent="0.45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</row>
    <row r="109" spans="2:21" x14ac:dyDescent="0.45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</row>
    <row r="110" spans="2:21" x14ac:dyDescent="0.45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</row>
    <row r="111" spans="2:21" x14ac:dyDescent="0.45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2:21" x14ac:dyDescent="0.45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7:21" x14ac:dyDescent="0.45"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7:21" x14ac:dyDescent="0.45"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7:21" x14ac:dyDescent="0.45"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7:21" x14ac:dyDescent="0.45"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7:21" x14ac:dyDescent="0.45"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7:21" x14ac:dyDescent="0.45"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116B-4B4D-4285-8B0A-CC424CB0A381}">
  <dimension ref="B2:H8"/>
  <sheetViews>
    <sheetView workbookViewId="0">
      <selection activeCell="D12" sqref="D12"/>
    </sheetView>
  </sheetViews>
  <sheetFormatPr baseColWidth="10" defaultRowHeight="14.25" x14ac:dyDescent="0.45"/>
  <cols>
    <col min="3" max="3" width="46" bestFit="1" customWidth="1"/>
    <col min="4" max="4" width="13.59765625" bestFit="1" customWidth="1"/>
    <col min="5" max="5" width="14.3984375" bestFit="1" customWidth="1"/>
    <col min="6" max="6" width="11.73046875" bestFit="1" customWidth="1"/>
  </cols>
  <sheetData>
    <row r="2" spans="2:8" ht="14.65" thickBot="1" x14ac:dyDescent="0.5"/>
    <row r="3" spans="2:8" ht="15.4" thickBot="1" x14ac:dyDescent="0.5">
      <c r="B3" s="16" t="s">
        <v>39</v>
      </c>
      <c r="C3" s="17" t="s">
        <v>40</v>
      </c>
      <c r="D3" s="17" t="s">
        <v>41</v>
      </c>
      <c r="E3" s="17" t="s">
        <v>42</v>
      </c>
      <c r="F3" s="17" t="s">
        <v>43</v>
      </c>
    </row>
    <row r="4" spans="2:8" ht="15.75" thickBot="1" x14ac:dyDescent="0.5">
      <c r="B4" s="18" t="s">
        <v>44</v>
      </c>
      <c r="C4" s="19" t="s">
        <v>45</v>
      </c>
      <c r="D4" s="20" t="s">
        <v>46</v>
      </c>
      <c r="E4" s="21">
        <v>0</v>
      </c>
      <c r="F4" s="21">
        <v>0</v>
      </c>
    </row>
    <row r="5" spans="2:8" ht="15.75" thickBot="1" x14ac:dyDescent="0.5">
      <c r="B5" s="18" t="s">
        <v>47</v>
      </c>
      <c r="C5" s="19" t="s">
        <v>48</v>
      </c>
      <c r="D5" s="20" t="s">
        <v>46</v>
      </c>
      <c r="E5" s="21">
        <v>0</v>
      </c>
      <c r="F5" s="21">
        <v>0</v>
      </c>
    </row>
    <row r="6" spans="2:8" ht="15.75" thickBot="1" x14ac:dyDescent="0.5">
      <c r="B6" s="18" t="s">
        <v>49</v>
      </c>
      <c r="C6" s="19" t="s">
        <v>50</v>
      </c>
      <c r="D6" s="20" t="s">
        <v>46</v>
      </c>
      <c r="E6" s="21">
        <v>0</v>
      </c>
      <c r="F6" s="21">
        <v>0</v>
      </c>
    </row>
    <row r="7" spans="2:8" ht="15.75" thickBot="1" x14ac:dyDescent="0.5">
      <c r="B7" s="18" t="s">
        <v>51</v>
      </c>
      <c r="C7" s="19" t="s">
        <v>52</v>
      </c>
      <c r="D7" s="20" t="s">
        <v>53</v>
      </c>
      <c r="E7" s="21">
        <v>25</v>
      </c>
      <c r="F7" s="21">
        <v>300</v>
      </c>
      <c r="H7">
        <f>25*12</f>
        <v>300</v>
      </c>
    </row>
    <row r="8" spans="2:8" ht="15.4" thickBot="1" x14ac:dyDescent="0.5">
      <c r="B8" s="22" t="s">
        <v>54</v>
      </c>
      <c r="C8" s="23"/>
      <c r="D8" s="23"/>
      <c r="E8" s="24"/>
      <c r="F8" s="25">
        <f>SUM(F4:F7)</f>
        <v>300</v>
      </c>
    </row>
  </sheetData>
  <mergeCells count="1"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C1B8-D7DC-45C3-A8B4-3E56442C8B2D}">
  <dimension ref="C2:G8"/>
  <sheetViews>
    <sheetView workbookViewId="0">
      <selection activeCell="C3" sqref="C3"/>
    </sheetView>
  </sheetViews>
  <sheetFormatPr baseColWidth="10" defaultRowHeight="14.25" x14ac:dyDescent="0.45"/>
  <cols>
    <col min="2" max="2" width="5" customWidth="1"/>
    <col min="3" max="3" width="30.265625" customWidth="1"/>
    <col min="4" max="4" width="16.59765625" bestFit="1" customWidth="1"/>
    <col min="5" max="6" width="16.265625" bestFit="1" customWidth="1"/>
    <col min="7" max="7" width="19.59765625" bestFit="1" customWidth="1"/>
  </cols>
  <sheetData>
    <row r="2" spans="3:7" ht="15" x14ac:dyDescent="0.45">
      <c r="C2" s="11" t="s">
        <v>29</v>
      </c>
      <c r="D2" s="11" t="s">
        <v>30</v>
      </c>
      <c r="E2" s="11" t="s">
        <v>31</v>
      </c>
      <c r="F2" s="11" t="s">
        <v>12</v>
      </c>
      <c r="G2" s="11" t="s">
        <v>32</v>
      </c>
    </row>
    <row r="3" spans="3:7" ht="15.4" x14ac:dyDescent="0.45">
      <c r="C3" s="12" t="s">
        <v>33</v>
      </c>
      <c r="D3" s="13">
        <f>[1]VENTAS!D20*2</f>
        <v>16</v>
      </c>
      <c r="E3" s="13">
        <v>14</v>
      </c>
      <c r="F3" s="13">
        <f>[1]VENTAS!C20*2</f>
        <v>10</v>
      </c>
      <c r="G3" s="14">
        <f>E3-F3</f>
        <v>4</v>
      </c>
    </row>
    <row r="4" spans="3:7" ht="15.4" x14ac:dyDescent="0.45">
      <c r="C4" s="12" t="s">
        <v>34</v>
      </c>
      <c r="D4" s="13">
        <f>[1]VENTAS!D18*2</f>
        <v>16</v>
      </c>
      <c r="E4" s="13">
        <v>14</v>
      </c>
      <c r="F4" s="13">
        <f>[1]VENTAS!C18*2</f>
        <v>10</v>
      </c>
      <c r="G4" s="14">
        <f t="shared" ref="G4:G8" si="0">E4-F4</f>
        <v>4</v>
      </c>
    </row>
    <row r="5" spans="3:7" ht="15.4" x14ac:dyDescent="0.45">
      <c r="C5" s="12" t="s">
        <v>35</v>
      </c>
      <c r="D5" s="13">
        <f>[1]VENTAS!D12*2</f>
        <v>16</v>
      </c>
      <c r="E5" s="13">
        <v>14</v>
      </c>
      <c r="F5" s="13">
        <f>[1]VENTAS!C12*2</f>
        <v>10</v>
      </c>
      <c r="G5" s="14">
        <f t="shared" si="0"/>
        <v>4</v>
      </c>
    </row>
    <row r="6" spans="3:7" ht="15.4" x14ac:dyDescent="0.45">
      <c r="C6" s="12" t="s">
        <v>36</v>
      </c>
      <c r="D6" s="9">
        <f>[1]VENTAS!D10*2</f>
        <v>18</v>
      </c>
      <c r="E6" s="9">
        <v>15</v>
      </c>
      <c r="F6" s="9">
        <f>[1]VENTAS!C10*2</f>
        <v>11</v>
      </c>
      <c r="G6" s="14">
        <f t="shared" si="0"/>
        <v>4</v>
      </c>
    </row>
    <row r="7" spans="3:7" ht="15.4" x14ac:dyDescent="0.45">
      <c r="C7" s="12" t="s">
        <v>37</v>
      </c>
      <c r="D7" s="9">
        <f>D6</f>
        <v>18</v>
      </c>
      <c r="E7" s="9">
        <v>15</v>
      </c>
      <c r="F7" s="9">
        <f>F6</f>
        <v>11</v>
      </c>
      <c r="G7" s="14">
        <f t="shared" si="0"/>
        <v>4</v>
      </c>
    </row>
    <row r="8" spans="3:7" ht="15.4" x14ac:dyDescent="0.45">
      <c r="C8" s="15" t="s">
        <v>38</v>
      </c>
      <c r="D8" s="9">
        <f>[1]VENTAS!D5*2</f>
        <v>8</v>
      </c>
      <c r="E8" s="9">
        <v>6</v>
      </c>
      <c r="F8" s="9">
        <f>[1]VENTAS!C5*2</f>
        <v>4</v>
      </c>
      <c r="G8" s="14">
        <f t="shared" si="0"/>
        <v>2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38ED-9339-47C4-9371-D7B07DBAFF54}">
  <dimension ref="B3:J18"/>
  <sheetViews>
    <sheetView workbookViewId="0">
      <selection activeCell="D20" sqref="D20"/>
    </sheetView>
  </sheetViews>
  <sheetFormatPr baseColWidth="10" defaultRowHeight="14.25" x14ac:dyDescent="0.45"/>
  <cols>
    <col min="2" max="2" width="35.265625" bestFit="1" customWidth="1"/>
    <col min="10" max="10" width="14.3984375" bestFit="1" customWidth="1"/>
  </cols>
  <sheetData>
    <row r="3" spans="2:10" ht="15.4" x14ac:dyDescent="0.45">
      <c r="B3" s="138" t="s">
        <v>128</v>
      </c>
      <c r="C3" s="139"/>
      <c r="D3" s="139"/>
      <c r="E3" s="139"/>
      <c r="F3" s="139"/>
      <c r="G3" s="139"/>
      <c r="H3" s="139"/>
      <c r="I3" s="139"/>
      <c r="J3" s="140"/>
    </row>
    <row r="4" spans="2:10" ht="15.4" x14ac:dyDescent="0.45">
      <c r="B4" s="141"/>
      <c r="C4" s="141"/>
      <c r="D4" s="141"/>
      <c r="E4" s="141"/>
      <c r="F4" s="141"/>
      <c r="G4" s="141"/>
      <c r="H4" s="141"/>
      <c r="I4" s="141"/>
      <c r="J4" s="141"/>
    </row>
    <row r="5" spans="2:10" ht="15.4" x14ac:dyDescent="0.45">
      <c r="B5" s="142" t="s">
        <v>129</v>
      </c>
      <c r="C5" s="142" t="s">
        <v>130</v>
      </c>
      <c r="D5" s="142" t="s">
        <v>119</v>
      </c>
      <c r="E5" s="142">
        <v>1</v>
      </c>
      <c r="F5" s="142">
        <v>2</v>
      </c>
      <c r="G5" s="142">
        <v>3</v>
      </c>
      <c r="H5" s="142">
        <v>4</v>
      </c>
      <c r="I5" s="142">
        <v>5</v>
      </c>
      <c r="J5" s="142" t="s">
        <v>131</v>
      </c>
    </row>
    <row r="6" spans="2:10" ht="15.4" x14ac:dyDescent="0.45">
      <c r="B6" s="143" t="s">
        <v>132</v>
      </c>
      <c r="C6" s="144"/>
      <c r="D6" s="145"/>
      <c r="E6" s="145"/>
      <c r="F6" s="145"/>
      <c r="G6" s="145"/>
      <c r="H6" s="145"/>
      <c r="I6" s="145"/>
      <c r="J6" s="145"/>
    </row>
    <row r="7" spans="2:10" ht="15.4" x14ac:dyDescent="0.45">
      <c r="B7" s="143" t="s">
        <v>133</v>
      </c>
      <c r="C7" s="144"/>
      <c r="D7" s="145"/>
      <c r="E7" s="145"/>
      <c r="F7" s="145"/>
      <c r="G7" s="145"/>
      <c r="H7" s="145"/>
      <c r="I7" s="145"/>
      <c r="J7" s="144"/>
    </row>
    <row r="8" spans="2:10" ht="15.4" x14ac:dyDescent="0.45">
      <c r="B8" s="146" t="str">
        <f>[1]BGENE!B11</f>
        <v>Muebles de oficina</v>
      </c>
      <c r="C8" s="147">
        <v>1200</v>
      </c>
      <c r="D8" s="148">
        <v>0.1</v>
      </c>
      <c r="E8" s="147">
        <f>C8*D8</f>
        <v>120</v>
      </c>
      <c r="F8" s="147">
        <f>E8</f>
        <v>120</v>
      </c>
      <c r="G8" s="147">
        <f t="shared" ref="G8:I8" si="0">F8</f>
        <v>120</v>
      </c>
      <c r="H8" s="147">
        <f t="shared" si="0"/>
        <v>120</v>
      </c>
      <c r="I8" s="147">
        <f t="shared" si="0"/>
        <v>120</v>
      </c>
      <c r="J8" s="147">
        <f>C8-E8-F8-G8-H8-I8</f>
        <v>600</v>
      </c>
    </row>
    <row r="9" spans="2:10" ht="15.4" x14ac:dyDescent="0.45">
      <c r="B9" s="146" t="str">
        <f>[1]BGENE!B12</f>
        <v>Equipo de computo</v>
      </c>
      <c r="C9" s="147">
        <v>240</v>
      </c>
      <c r="D9" s="149">
        <v>0.33329999999999999</v>
      </c>
      <c r="E9" s="147">
        <f>C9/3</f>
        <v>80</v>
      </c>
      <c r="F9" s="147">
        <f t="shared" ref="F9:I10" si="1">E9</f>
        <v>80</v>
      </c>
      <c r="G9" s="147">
        <f t="shared" si="1"/>
        <v>80</v>
      </c>
      <c r="H9" s="147"/>
      <c r="I9" s="147"/>
      <c r="J9" s="147">
        <f t="shared" ref="J9:J10" si="2">C9-E9-F9-G9-H9-I9</f>
        <v>0</v>
      </c>
    </row>
    <row r="10" spans="2:10" ht="15.4" x14ac:dyDescent="0.45">
      <c r="B10" s="146" t="str">
        <f>[1]BGENE!B13</f>
        <v>Vehiculos</v>
      </c>
      <c r="C10" s="147">
        <v>7200</v>
      </c>
      <c r="D10" s="148">
        <v>0.2</v>
      </c>
      <c r="E10" s="147">
        <f t="shared" ref="E10" si="3">C10*D10</f>
        <v>1440</v>
      </c>
      <c r="F10" s="147">
        <f t="shared" si="1"/>
        <v>1440</v>
      </c>
      <c r="G10" s="147">
        <f t="shared" si="1"/>
        <v>1440</v>
      </c>
      <c r="H10" s="147">
        <f t="shared" si="1"/>
        <v>1440</v>
      </c>
      <c r="I10" s="147">
        <f t="shared" si="1"/>
        <v>1440</v>
      </c>
      <c r="J10" s="147">
        <f t="shared" si="2"/>
        <v>0</v>
      </c>
    </row>
    <row r="11" spans="2:10" ht="15.4" x14ac:dyDescent="0.45">
      <c r="B11" s="146" t="s">
        <v>54</v>
      </c>
      <c r="C11" s="147">
        <f>SUM(C8:C10)</f>
        <v>8640</v>
      </c>
      <c r="D11" s="148"/>
      <c r="E11" s="147">
        <f>SUM(E8:E10)</f>
        <v>1640</v>
      </c>
      <c r="F11" s="147">
        <f>SUM(F8:F10)</f>
        <v>1640</v>
      </c>
      <c r="G11" s="147">
        <f>SUM(G8:G10)</f>
        <v>1640</v>
      </c>
      <c r="H11" s="147">
        <f>SUM(H8:H10)</f>
        <v>1560</v>
      </c>
      <c r="I11" s="147">
        <f>SUM(I8:I10)</f>
        <v>1560</v>
      </c>
      <c r="J11" s="147">
        <f>C11-E11-F11-G11-H11-I11</f>
        <v>600</v>
      </c>
    </row>
    <row r="14" spans="2:10" ht="15.4" x14ac:dyDescent="0.45">
      <c r="B14" s="142" t="s">
        <v>129</v>
      </c>
      <c r="C14" s="142" t="s">
        <v>130</v>
      </c>
      <c r="D14" s="142" t="s">
        <v>119</v>
      </c>
      <c r="E14" s="142">
        <v>1</v>
      </c>
      <c r="F14" s="142">
        <v>2</v>
      </c>
      <c r="G14" s="142">
        <v>3</v>
      </c>
      <c r="H14" s="142">
        <v>4</v>
      </c>
      <c r="I14" s="142">
        <v>5</v>
      </c>
      <c r="J14" s="142" t="s">
        <v>131</v>
      </c>
    </row>
    <row r="15" spans="2:10" ht="15.4" x14ac:dyDescent="0.45">
      <c r="B15" s="143" t="s">
        <v>134</v>
      </c>
      <c r="C15" s="144"/>
      <c r="D15" s="145"/>
      <c r="E15" s="145"/>
      <c r="F15" s="145"/>
      <c r="G15" s="145"/>
      <c r="H15" s="145"/>
      <c r="I15" s="145"/>
      <c r="J15" s="145"/>
    </row>
    <row r="16" spans="2:10" ht="15.4" x14ac:dyDescent="0.45">
      <c r="B16" s="143" t="s">
        <v>133</v>
      </c>
      <c r="C16" s="144"/>
      <c r="D16" s="145"/>
      <c r="E16" s="145"/>
      <c r="F16" s="145"/>
      <c r="G16" s="145"/>
      <c r="H16" s="145"/>
      <c r="I16" s="145"/>
      <c r="J16" s="144"/>
    </row>
    <row r="17" spans="2:10" ht="15.4" x14ac:dyDescent="0.45">
      <c r="B17" s="146" t="str">
        <f>[1]BGENE!B16</f>
        <v>Gastos preoperacionales</v>
      </c>
      <c r="C17" s="147">
        <v>600</v>
      </c>
      <c r="D17" s="148">
        <v>0.2</v>
      </c>
      <c r="E17" s="147">
        <f>C17*D17</f>
        <v>120</v>
      </c>
      <c r="F17" s="147">
        <f>E17</f>
        <v>120</v>
      </c>
      <c r="G17" s="147">
        <f t="shared" ref="G17:I17" si="4">F17</f>
        <v>120</v>
      </c>
      <c r="H17" s="147">
        <f t="shared" si="4"/>
        <v>120</v>
      </c>
      <c r="I17" s="147">
        <f t="shared" si="4"/>
        <v>120</v>
      </c>
      <c r="J17" s="147">
        <f>C17-E17-F17-G17-H17-I17</f>
        <v>0</v>
      </c>
    </row>
    <row r="18" spans="2:10" ht="15.4" x14ac:dyDescent="0.45">
      <c r="B18" s="146" t="s">
        <v>54</v>
      </c>
      <c r="C18" s="147">
        <f>SUM(C17:C17)</f>
        <v>600</v>
      </c>
      <c r="D18" s="148"/>
      <c r="E18" s="147">
        <f>SUM(E17:E17)</f>
        <v>120</v>
      </c>
      <c r="F18" s="147">
        <f>SUM(F17:F17)</f>
        <v>120</v>
      </c>
      <c r="G18" s="147">
        <f>SUM(G17:G17)</f>
        <v>120</v>
      </c>
      <c r="H18" s="147">
        <f>SUM(H17:H17)</f>
        <v>120</v>
      </c>
      <c r="I18" s="147">
        <f>SUM(I17:I17)</f>
        <v>120</v>
      </c>
      <c r="J18" s="147">
        <f>C18-E18-F18-G18-H18-I18</f>
        <v>0</v>
      </c>
    </row>
  </sheetData>
  <mergeCells count="1">
    <mergeCell ref="B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6586-6D2B-4272-AA18-F69C7D2CACA2}">
  <dimension ref="C5:L20"/>
  <sheetViews>
    <sheetView workbookViewId="0">
      <selection activeCell="G7" sqref="G7"/>
    </sheetView>
  </sheetViews>
  <sheetFormatPr baseColWidth="10" defaultRowHeight="14.25" x14ac:dyDescent="0.45"/>
  <cols>
    <col min="3" max="3" width="27" bestFit="1" customWidth="1"/>
    <col min="4" max="6" width="11.86328125" bestFit="1" customWidth="1"/>
  </cols>
  <sheetData>
    <row r="5" spans="3:12" ht="15.4" x14ac:dyDescent="0.45">
      <c r="C5" s="26"/>
      <c r="D5" s="27" t="s">
        <v>55</v>
      </c>
      <c r="E5" s="27" t="s">
        <v>56</v>
      </c>
      <c r="F5" s="27" t="s">
        <v>54</v>
      </c>
    </row>
    <row r="6" spans="3:12" ht="15.4" x14ac:dyDescent="0.45">
      <c r="C6" s="28" t="s">
        <v>57</v>
      </c>
      <c r="D6" s="29"/>
      <c r="E6" s="29">
        <f>[1]ER!D5</f>
        <v>31634.86</v>
      </c>
      <c r="F6" s="29">
        <f>E6</f>
        <v>31634.86</v>
      </c>
      <c r="G6" s="30"/>
      <c r="H6" s="30"/>
      <c r="I6" s="30"/>
      <c r="J6" s="30"/>
    </row>
    <row r="7" spans="3:12" ht="15.4" x14ac:dyDescent="0.45">
      <c r="C7" s="28" t="s">
        <v>58</v>
      </c>
      <c r="D7" s="29"/>
      <c r="E7" s="29"/>
      <c r="F7" s="29">
        <f>SUM(D8:D13)</f>
        <v>11533</v>
      </c>
      <c r="G7" s="30">
        <f>SUM(G8:G13)</f>
        <v>12122.512500000003</v>
      </c>
      <c r="H7" s="30">
        <f t="shared" ref="H7:J7" si="0">SUM(H8:H13)</f>
        <v>12747.804531250002</v>
      </c>
      <c r="I7" s="30">
        <f t="shared" si="0"/>
        <v>13331.059064453126</v>
      </c>
      <c r="J7" s="30">
        <f t="shared" si="0"/>
        <v>14034.592843481447</v>
      </c>
      <c r="L7" s="30">
        <f>F7*[1]ER!J7</f>
        <v>12253.8125</v>
      </c>
    </row>
    <row r="8" spans="3:12" ht="15.4" x14ac:dyDescent="0.45">
      <c r="C8" s="31" t="s">
        <v>59</v>
      </c>
      <c r="D8" s="29">
        <f>[1]SYS!I19</f>
        <v>8069.0000000000009</v>
      </c>
      <c r="E8" s="29"/>
      <c r="F8" s="29"/>
      <c r="G8" s="30">
        <f>D8*[1]ER!$J$7</f>
        <v>8573.3125000000018</v>
      </c>
      <c r="H8" s="30">
        <f>G8*[1]ER!$J$7</f>
        <v>9109.1445312500018</v>
      </c>
      <c r="I8" s="30">
        <f>H8*[1]ER!$J$7</f>
        <v>9678.4660644531268</v>
      </c>
      <c r="J8" s="30">
        <f>I8*[1]ER!$J$7</f>
        <v>10283.370193481447</v>
      </c>
    </row>
    <row r="9" spans="3:12" ht="15.4" x14ac:dyDescent="0.45">
      <c r="C9" s="31" t="s">
        <v>60</v>
      </c>
      <c r="D9" s="29">
        <f>[1]ER!D15</f>
        <v>1640</v>
      </c>
      <c r="E9" s="29"/>
      <c r="F9" s="29"/>
      <c r="G9" s="30">
        <f>[1]DEP!F11</f>
        <v>1640</v>
      </c>
      <c r="H9" s="30">
        <f>[1]DEP!G11</f>
        <v>1640</v>
      </c>
      <c r="I9" s="30">
        <f>[1]DEP!H11</f>
        <v>1560</v>
      </c>
      <c r="J9" s="30">
        <f>[1]DEP!I11</f>
        <v>1560</v>
      </c>
    </row>
    <row r="10" spans="3:12" ht="15.4" x14ac:dyDescent="0.45">
      <c r="C10" s="31" t="s">
        <v>61</v>
      </c>
      <c r="D10" s="29">
        <v>240</v>
      </c>
      <c r="E10" s="29"/>
      <c r="F10" s="29"/>
      <c r="G10" s="30">
        <f t="shared" ref="G10:G11" si="1">D10*1.05</f>
        <v>252</v>
      </c>
      <c r="H10" s="30">
        <f t="shared" ref="H10:J12" si="2">G10*1.05</f>
        <v>264.60000000000002</v>
      </c>
      <c r="I10" s="30">
        <f t="shared" si="2"/>
        <v>277.83000000000004</v>
      </c>
      <c r="J10" s="30">
        <f t="shared" si="2"/>
        <v>291.72150000000005</v>
      </c>
    </row>
    <row r="11" spans="3:12" ht="15.4" x14ac:dyDescent="0.45">
      <c r="C11" s="31" t="s">
        <v>62</v>
      </c>
      <c r="D11" s="29">
        <v>264</v>
      </c>
      <c r="E11" s="29"/>
      <c r="F11" s="29"/>
      <c r="G11" s="30">
        <f t="shared" si="1"/>
        <v>277.2</v>
      </c>
      <c r="H11" s="30">
        <f t="shared" si="2"/>
        <v>291.06</v>
      </c>
      <c r="I11" s="30">
        <f t="shared" si="2"/>
        <v>305.613</v>
      </c>
      <c r="J11" s="30">
        <f t="shared" si="2"/>
        <v>320.89365000000004</v>
      </c>
    </row>
    <row r="12" spans="3:12" ht="15.4" x14ac:dyDescent="0.45">
      <c r="C12" s="31" t="s">
        <v>63</v>
      </c>
      <c r="D12" s="29">
        <v>1200</v>
      </c>
      <c r="E12" s="29"/>
      <c r="F12" s="29"/>
      <c r="G12" s="30">
        <f>D12*1.05</f>
        <v>1260</v>
      </c>
      <c r="H12" s="30">
        <f>G12*1.05</f>
        <v>1323</v>
      </c>
      <c r="I12" s="30">
        <f t="shared" si="2"/>
        <v>1389.15</v>
      </c>
      <c r="J12" s="30">
        <f>I12*1.05</f>
        <v>1458.6075000000001</v>
      </c>
    </row>
    <row r="13" spans="3:12" ht="15.4" x14ac:dyDescent="0.45">
      <c r="C13" s="31" t="s">
        <v>64</v>
      </c>
      <c r="D13" s="29">
        <f>[1]ER!D16</f>
        <v>120</v>
      </c>
      <c r="E13" s="29"/>
      <c r="F13" s="29"/>
      <c r="G13" s="32">
        <f>[1]DEP!F17</f>
        <v>120</v>
      </c>
      <c r="H13" s="32">
        <f>[1]DEP!G17</f>
        <v>120</v>
      </c>
      <c r="I13" s="32">
        <f>[1]DEP!H17</f>
        <v>120</v>
      </c>
      <c r="J13" s="32">
        <f>[1]DEP!I17</f>
        <v>120</v>
      </c>
    </row>
    <row r="14" spans="3:12" ht="15.4" x14ac:dyDescent="0.45">
      <c r="C14" s="28" t="s">
        <v>65</v>
      </c>
      <c r="D14" s="29"/>
      <c r="E14" s="29"/>
      <c r="F14" s="29">
        <f>D15+D16</f>
        <v>6835.2000000000007</v>
      </c>
      <c r="G14" s="30">
        <f>G15+G16</f>
        <v>7258.6500000000005</v>
      </c>
      <c r="H14" s="30">
        <f>H15+H16</f>
        <v>7708.3781250000002</v>
      </c>
      <c r="I14" s="30">
        <f t="shared" ref="I14:J14" si="3">I15+I16</f>
        <v>8186.0173828125007</v>
      </c>
      <c r="J14" s="30">
        <f t="shared" si="3"/>
        <v>8693.3023754882815</v>
      </c>
    </row>
    <row r="15" spans="3:12" ht="15.4" x14ac:dyDescent="0.45">
      <c r="C15" s="31" t="s">
        <v>59</v>
      </c>
      <c r="D15" s="29">
        <f>[1]SYS!I36</f>
        <v>6535.2000000000007</v>
      </c>
      <c r="E15" s="29"/>
      <c r="F15" s="29"/>
      <c r="G15" s="30">
        <f>D15*[1]ER!J7</f>
        <v>6943.6500000000005</v>
      </c>
      <c r="H15" s="30">
        <f>G15*[1]ER!$J$7</f>
        <v>7377.6281250000002</v>
      </c>
      <c r="I15" s="30">
        <f>H15*[1]ER!$J$7</f>
        <v>7838.7298828125004</v>
      </c>
      <c r="J15" s="30">
        <f>I15*[1]ER!$J$7</f>
        <v>8328.650500488282</v>
      </c>
    </row>
    <row r="16" spans="3:12" ht="15.4" x14ac:dyDescent="0.45">
      <c r="C16" s="31" t="s">
        <v>66</v>
      </c>
      <c r="D16" s="29">
        <v>300</v>
      </c>
      <c r="E16" s="29"/>
      <c r="F16" s="29"/>
      <c r="G16" s="30">
        <f>D16*1.05</f>
        <v>315</v>
      </c>
      <c r="H16" s="30">
        <f>G16*1.05</f>
        <v>330.75</v>
      </c>
      <c r="I16" s="30">
        <f t="shared" ref="I16:J16" si="4">H16*1.05</f>
        <v>347.28750000000002</v>
      </c>
      <c r="J16" s="30">
        <f t="shared" si="4"/>
        <v>364.65187500000002</v>
      </c>
    </row>
    <row r="17" spans="3:6" ht="15.4" x14ac:dyDescent="0.45">
      <c r="C17" s="28" t="s">
        <v>67</v>
      </c>
      <c r="D17" s="29"/>
      <c r="E17" s="29"/>
      <c r="F17" s="29">
        <f>D18</f>
        <v>510.5800166142389</v>
      </c>
    </row>
    <row r="18" spans="3:6" ht="15.4" x14ac:dyDescent="0.45">
      <c r="C18" s="31" t="s">
        <v>68</v>
      </c>
      <c r="D18" s="29">
        <f>'[1]TAB AMOR'!D5</f>
        <v>510.5800166142389</v>
      </c>
      <c r="E18" s="29"/>
      <c r="F18" s="29"/>
    </row>
    <row r="19" spans="3:6" ht="15.4" x14ac:dyDescent="0.45">
      <c r="C19" s="28" t="s">
        <v>69</v>
      </c>
      <c r="D19" s="29">
        <f>SUM(D7:D18)</f>
        <v>18878.780016614241</v>
      </c>
      <c r="E19" s="29">
        <f>E6</f>
        <v>31634.86</v>
      </c>
      <c r="F19" s="29"/>
    </row>
    <row r="20" spans="3:6" ht="15.4" x14ac:dyDescent="0.45">
      <c r="C20" s="28" t="s">
        <v>70</v>
      </c>
      <c r="D20" s="33">
        <f>D19+E19</f>
        <v>50513.640016614241</v>
      </c>
      <c r="E20" s="33"/>
      <c r="F20" s="29">
        <f>SUM(F6:F19)</f>
        <v>50513.640016614234</v>
      </c>
    </row>
  </sheetData>
  <mergeCells count="1">
    <mergeCell ref="D20:E20"/>
  </mergeCell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985A-695B-4A17-95BF-9930951B6BE5}">
  <dimension ref="B3:K39"/>
  <sheetViews>
    <sheetView topLeftCell="A10" workbookViewId="0">
      <selection activeCell="E19" sqref="E19"/>
    </sheetView>
  </sheetViews>
  <sheetFormatPr baseColWidth="10" defaultRowHeight="14.25" x14ac:dyDescent="0.45"/>
  <cols>
    <col min="2" max="2" width="26.3984375" bestFit="1" customWidth="1"/>
    <col min="3" max="3" width="11.265625" bestFit="1" customWidth="1"/>
    <col min="4" max="7" width="10.6640625" style="37"/>
    <col min="10" max="10" width="12.59765625" bestFit="1" customWidth="1"/>
  </cols>
  <sheetData>
    <row r="3" spans="2:11" x14ac:dyDescent="0.45">
      <c r="B3" s="34"/>
      <c r="C3" s="34"/>
      <c r="D3" s="128">
        <v>2021</v>
      </c>
      <c r="E3" s="128">
        <v>2022</v>
      </c>
      <c r="F3" s="128">
        <v>2023</v>
      </c>
      <c r="G3" s="128">
        <v>2024</v>
      </c>
      <c r="H3" s="128">
        <v>2025</v>
      </c>
    </row>
    <row r="4" spans="2:11" x14ac:dyDescent="0.45">
      <c r="B4" s="34" t="s">
        <v>11</v>
      </c>
      <c r="C4" s="34"/>
      <c r="D4" s="129">
        <f>[1]VENTAS!G21</f>
        <v>53446</v>
      </c>
      <c r="E4" s="129">
        <f>D4*1.05</f>
        <v>56118.3</v>
      </c>
      <c r="F4" s="129">
        <f t="shared" ref="F4:H5" si="0">E4*1.05</f>
        <v>58924.215000000004</v>
      </c>
      <c r="G4" s="129">
        <f t="shared" si="0"/>
        <v>61870.425750000009</v>
      </c>
      <c r="H4" s="129">
        <f t="shared" si="0"/>
        <v>64963.947037500009</v>
      </c>
    </row>
    <row r="5" spans="2:11" x14ac:dyDescent="0.45">
      <c r="B5" s="34" t="s">
        <v>57</v>
      </c>
      <c r="C5" s="34"/>
      <c r="D5" s="129">
        <f>[1]VENTAS!H21</f>
        <v>31634.86</v>
      </c>
      <c r="E5" s="129">
        <f>D5*1.05</f>
        <v>33216.603000000003</v>
      </c>
      <c r="F5" s="129">
        <f t="shared" si="0"/>
        <v>34877.433150000004</v>
      </c>
      <c r="G5" s="129">
        <f t="shared" si="0"/>
        <v>36621.304807500004</v>
      </c>
      <c r="H5" s="129">
        <f t="shared" si="0"/>
        <v>38452.370047875003</v>
      </c>
    </row>
    <row r="6" spans="2:11" x14ac:dyDescent="0.45">
      <c r="B6" s="34" t="s">
        <v>71</v>
      </c>
      <c r="C6" s="34"/>
      <c r="D6" s="129">
        <f>D4-D5</f>
        <v>21811.14</v>
      </c>
      <c r="E6" s="129">
        <f t="shared" ref="E6:H6" si="1">E4-E5</f>
        <v>22901.697</v>
      </c>
      <c r="F6" s="129">
        <f t="shared" si="1"/>
        <v>24046.781849999999</v>
      </c>
      <c r="G6" s="129">
        <f t="shared" si="1"/>
        <v>25249.120942500005</v>
      </c>
      <c r="H6" s="129">
        <f t="shared" si="1"/>
        <v>26511.576989625006</v>
      </c>
    </row>
    <row r="7" spans="2:11" x14ac:dyDescent="0.45">
      <c r="B7" s="34" t="s">
        <v>72</v>
      </c>
      <c r="C7" s="34"/>
      <c r="D7" s="129">
        <f>[1]COST!F7</f>
        <v>11533</v>
      </c>
      <c r="E7" s="129">
        <f>D7*1.05</f>
        <v>12109.65</v>
      </c>
      <c r="F7" s="129">
        <f t="shared" ref="F7:H8" si="2">E7*1.05</f>
        <v>12715.1325</v>
      </c>
      <c r="G7" s="129">
        <f t="shared" si="2"/>
        <v>13350.889125</v>
      </c>
      <c r="H7" s="129">
        <f t="shared" si="2"/>
        <v>14018.433581249999</v>
      </c>
      <c r="J7" s="36"/>
      <c r="K7" s="36"/>
    </row>
    <row r="8" spans="2:11" x14ac:dyDescent="0.45">
      <c r="B8" s="34" t="s">
        <v>73</v>
      </c>
      <c r="C8" s="34"/>
      <c r="D8" s="129">
        <f>[1]COST!F14</f>
        <v>6835.2000000000007</v>
      </c>
      <c r="E8" s="129">
        <f>D8*1.05</f>
        <v>7176.9600000000009</v>
      </c>
      <c r="F8" s="129">
        <f t="shared" si="2"/>
        <v>7535.8080000000009</v>
      </c>
      <c r="G8" s="129">
        <f t="shared" si="2"/>
        <v>7912.5984000000017</v>
      </c>
      <c r="H8" s="129">
        <f>G8*1.05</f>
        <v>8308.228320000002</v>
      </c>
    </row>
    <row r="9" spans="2:11" x14ac:dyDescent="0.45">
      <c r="B9" s="34" t="s">
        <v>74</v>
      </c>
      <c r="C9" s="34"/>
      <c r="D9" s="129">
        <f>'[1]TAB AMOR'!D5</f>
        <v>510.5800166142389</v>
      </c>
      <c r="E9" s="129">
        <f>'[1]TAB AMOR'!D11</f>
        <v>427.29574231786756</v>
      </c>
      <c r="F9" s="129">
        <f>'[1]TAB AMOR'!D12</f>
        <v>329.66401960604918</v>
      </c>
      <c r="G9" s="129">
        <f>'[1]TAB AMOR'!D13</f>
        <v>215.21320208727676</v>
      </c>
      <c r="H9" s="129">
        <f>'[1]TAB AMOR'!D14</f>
        <v>81.045850873164412</v>
      </c>
      <c r="J9" s="30"/>
      <c r="K9" s="30"/>
    </row>
    <row r="10" spans="2:11" x14ac:dyDescent="0.45">
      <c r="B10" s="34" t="s">
        <v>75</v>
      </c>
      <c r="C10" s="34"/>
      <c r="D10" s="129">
        <f>D6-D7-D8-D9</f>
        <v>2932.3599833857597</v>
      </c>
      <c r="E10" s="129">
        <f t="shared" ref="E10:H10" si="3">E6-E7-E8-E9</f>
        <v>3187.7912576821318</v>
      </c>
      <c r="F10" s="129">
        <f t="shared" si="3"/>
        <v>3466.1773303939494</v>
      </c>
      <c r="G10" s="129">
        <f t="shared" si="3"/>
        <v>3770.420215412727</v>
      </c>
      <c r="H10" s="129">
        <f t="shared" si="3"/>
        <v>4103.86923750184</v>
      </c>
    </row>
    <row r="11" spans="2:11" x14ac:dyDescent="0.45">
      <c r="B11" s="34" t="s">
        <v>76</v>
      </c>
      <c r="C11" s="34"/>
      <c r="D11" s="129">
        <f>D10*0.15</f>
        <v>439.85399750786394</v>
      </c>
      <c r="E11" s="129">
        <f t="shared" ref="E11:H11" si="4">E10*0.15</f>
        <v>478.16868865231976</v>
      </c>
      <c r="F11" s="129">
        <f t="shared" si="4"/>
        <v>519.92659955909244</v>
      </c>
      <c r="G11" s="129">
        <f t="shared" si="4"/>
        <v>565.56303231190907</v>
      </c>
      <c r="H11" s="129">
        <f t="shared" si="4"/>
        <v>615.58038562527599</v>
      </c>
    </row>
    <row r="12" spans="2:11" x14ac:dyDescent="0.45">
      <c r="B12" s="34" t="s">
        <v>77</v>
      </c>
      <c r="C12" s="34"/>
      <c r="D12" s="129">
        <f>D10-D11</f>
        <v>2492.5059858778959</v>
      </c>
      <c r="E12" s="129">
        <f t="shared" ref="E12:H12" si="5">E10-E11</f>
        <v>2709.622569029812</v>
      </c>
      <c r="F12" s="129">
        <f t="shared" si="5"/>
        <v>2946.2507308348568</v>
      </c>
      <c r="G12" s="129">
        <f t="shared" si="5"/>
        <v>3204.857183100818</v>
      </c>
      <c r="H12" s="129">
        <f t="shared" si="5"/>
        <v>3488.288851876564</v>
      </c>
    </row>
    <row r="13" spans="2:11" x14ac:dyDescent="0.45">
      <c r="B13" s="34" t="s">
        <v>78</v>
      </c>
      <c r="C13" s="34"/>
      <c r="D13" s="130">
        <f>28.62*12</f>
        <v>343.44</v>
      </c>
      <c r="E13" s="129">
        <f>D13*1.05</f>
        <v>360.61200000000002</v>
      </c>
      <c r="F13" s="129">
        <f t="shared" ref="F13:H13" si="6">E13*1.05</f>
        <v>378.64260000000002</v>
      </c>
      <c r="G13" s="129">
        <f t="shared" si="6"/>
        <v>397.57473000000005</v>
      </c>
      <c r="H13" s="129">
        <f t="shared" si="6"/>
        <v>417.45346650000005</v>
      </c>
    </row>
    <row r="14" spans="2:11" x14ac:dyDescent="0.45">
      <c r="B14" s="34" t="s">
        <v>79</v>
      </c>
      <c r="C14" s="34"/>
      <c r="D14" s="129">
        <f>D12-D13</f>
        <v>2149.0659858778959</v>
      </c>
      <c r="E14" s="129">
        <f t="shared" ref="E14:H14" si="7">E12-E13</f>
        <v>2349.0105690298119</v>
      </c>
      <c r="F14" s="129">
        <f t="shared" si="7"/>
        <v>2567.6081308348566</v>
      </c>
      <c r="G14" s="129">
        <f t="shared" si="7"/>
        <v>2807.2824531008182</v>
      </c>
      <c r="H14" s="129">
        <f t="shared" si="7"/>
        <v>3070.8353853765639</v>
      </c>
    </row>
    <row r="15" spans="2:11" x14ac:dyDescent="0.45">
      <c r="B15" s="34" t="s">
        <v>80</v>
      </c>
      <c r="C15" s="34"/>
      <c r="D15" s="129">
        <f>[1]DEP!E11</f>
        <v>1640</v>
      </c>
      <c r="E15" s="129">
        <f>[1]DEP!F11</f>
        <v>1640</v>
      </c>
      <c r="F15" s="129">
        <f>[1]DEP!G11</f>
        <v>1640</v>
      </c>
      <c r="G15" s="129">
        <f>[1]DEP!H11</f>
        <v>1560</v>
      </c>
      <c r="H15" s="129">
        <f>[1]DEP!I11</f>
        <v>1560</v>
      </c>
    </row>
    <row r="16" spans="2:11" x14ac:dyDescent="0.45">
      <c r="B16" s="34" t="s">
        <v>81</v>
      </c>
      <c r="C16" s="34"/>
      <c r="D16" s="129">
        <f>[1]DEP!E18</f>
        <v>120</v>
      </c>
      <c r="E16" s="129">
        <f>[1]DEP!F18</f>
        <v>120</v>
      </c>
      <c r="F16" s="129">
        <f>[1]DEP!G18</f>
        <v>120</v>
      </c>
      <c r="G16" s="129">
        <f>[1]DEP!H18</f>
        <v>120</v>
      </c>
      <c r="H16" s="129">
        <f>[1]DEP!I18</f>
        <v>120</v>
      </c>
    </row>
    <row r="17" spans="2:8" x14ac:dyDescent="0.45">
      <c r="B17" s="34" t="s">
        <v>82</v>
      </c>
      <c r="C17" s="34"/>
      <c r="D17" s="129">
        <f>'[1]TAB AMOR'!E5</f>
        <v>483.44974968548013</v>
      </c>
      <c r="E17" s="129">
        <f>'[1]TAB AMOR'!E11</f>
        <v>566.73402398185135</v>
      </c>
      <c r="F17" s="129">
        <f>'[1]TAB AMOR'!E12</f>
        <v>664.36574669366973</v>
      </c>
      <c r="G17" s="129">
        <f>'[1]TAB AMOR'!E13</f>
        <v>778.81656421244236</v>
      </c>
      <c r="H17" s="129">
        <f>'[1]TAB AMOR'!E14</f>
        <v>912.98391542655452</v>
      </c>
    </row>
    <row r="18" spans="2:8" x14ac:dyDescent="0.45">
      <c r="B18" s="34" t="s">
        <v>83</v>
      </c>
      <c r="C18" s="35">
        <f>[1]BGENE!C18*-1</f>
        <v>-13045.616236192416</v>
      </c>
      <c r="D18" s="129">
        <f>D14+D15+D16-D17</f>
        <v>3425.6162361924157</v>
      </c>
      <c r="E18" s="129">
        <f t="shared" ref="E18:H18" si="8">E14+E15+E16-E17</f>
        <v>3542.2765450479601</v>
      </c>
      <c r="F18" s="129">
        <f t="shared" si="8"/>
        <v>3663.2423841411869</v>
      </c>
      <c r="G18" s="129">
        <f t="shared" si="8"/>
        <v>3708.465888888376</v>
      </c>
      <c r="H18" s="129">
        <f t="shared" si="8"/>
        <v>3837.8514699500092</v>
      </c>
    </row>
    <row r="20" spans="2:8" x14ac:dyDescent="0.45">
      <c r="C20" t="s">
        <v>138</v>
      </c>
      <c r="D20" s="156">
        <f>IRR(C18:H18)</f>
        <v>0.11935553393172427</v>
      </c>
    </row>
    <row r="21" spans="2:8" x14ac:dyDescent="0.45">
      <c r="C21" s="38"/>
    </row>
    <row r="22" spans="2:8" x14ac:dyDescent="0.45">
      <c r="C22" s="39"/>
    </row>
    <row r="26" spans="2:8" x14ac:dyDescent="0.45">
      <c r="B26" s="40" t="s">
        <v>83</v>
      </c>
      <c r="C26" s="41" t="s">
        <v>84</v>
      </c>
      <c r="D26" s="131" t="s">
        <v>85</v>
      </c>
      <c r="E26" s="131" t="s">
        <v>86</v>
      </c>
      <c r="F26" s="131" t="s">
        <v>87</v>
      </c>
      <c r="G26" s="131" t="s">
        <v>88</v>
      </c>
    </row>
    <row r="27" spans="2:8" x14ac:dyDescent="0.45">
      <c r="B27" s="40" t="s">
        <v>89</v>
      </c>
      <c r="C27" s="42">
        <v>0</v>
      </c>
      <c r="D27" s="132">
        <f>C37</f>
        <v>3425.6162361924144</v>
      </c>
      <c r="E27" s="132">
        <f t="shared" ref="E27:G27" si="9">D37</f>
        <v>6967.8927812403781</v>
      </c>
      <c r="F27" s="132">
        <f t="shared" si="9"/>
        <v>10631.135165381565</v>
      </c>
      <c r="G27" s="132">
        <f t="shared" si="9"/>
        <v>14339.601054269944</v>
      </c>
    </row>
    <row r="28" spans="2:8" x14ac:dyDescent="0.45">
      <c r="B28" s="40" t="s">
        <v>11</v>
      </c>
      <c r="C28" s="43">
        <f>D4</f>
        <v>53446</v>
      </c>
      <c r="D28" s="133">
        <f>E4</f>
        <v>56118.3</v>
      </c>
      <c r="E28" s="133">
        <f t="shared" ref="E28:G28" si="10">F4</f>
        <v>58924.215000000004</v>
      </c>
      <c r="F28" s="133">
        <f t="shared" si="10"/>
        <v>61870.425750000009</v>
      </c>
      <c r="G28" s="133">
        <f t="shared" si="10"/>
        <v>64963.947037500009</v>
      </c>
    </row>
    <row r="29" spans="2:8" x14ac:dyDescent="0.45">
      <c r="B29" s="40" t="s">
        <v>90</v>
      </c>
      <c r="C29" s="43">
        <f>C28+C27</f>
        <v>53446</v>
      </c>
      <c r="D29" s="133">
        <f>D28+D27</f>
        <v>59543.916236192417</v>
      </c>
      <c r="E29" s="133">
        <f>E28+E27</f>
        <v>65892.107781240382</v>
      </c>
      <c r="F29" s="133">
        <f t="shared" ref="F29:G29" si="11">F28+F27</f>
        <v>72501.560915381575</v>
      </c>
      <c r="G29" s="133">
        <f t="shared" si="11"/>
        <v>79303.548091769946</v>
      </c>
    </row>
    <row r="30" spans="2:8" x14ac:dyDescent="0.45">
      <c r="B30" s="40"/>
      <c r="C30" s="42"/>
      <c r="D30" s="134"/>
      <c r="E30" s="134"/>
      <c r="F30" s="134"/>
      <c r="G30" s="134"/>
    </row>
    <row r="31" spans="2:8" x14ac:dyDescent="0.45">
      <c r="B31" s="150" t="s">
        <v>69</v>
      </c>
      <c r="C31" s="151">
        <f>D5</f>
        <v>31634.86</v>
      </c>
      <c r="D31" s="152">
        <f>E5</f>
        <v>33216.603000000003</v>
      </c>
      <c r="E31" s="152">
        <f t="shared" ref="E31:G31" si="12">F5</f>
        <v>34877.433150000004</v>
      </c>
      <c r="F31" s="152">
        <f t="shared" si="12"/>
        <v>36621.304807500004</v>
      </c>
      <c r="G31" s="152">
        <f t="shared" si="12"/>
        <v>38452.370047875003</v>
      </c>
    </row>
    <row r="32" spans="2:8" x14ac:dyDescent="0.45">
      <c r="B32" s="150" t="s">
        <v>91</v>
      </c>
      <c r="C32" s="153">
        <f>D7+D8-D15-D16</f>
        <v>16608.2</v>
      </c>
      <c r="D32" s="154">
        <f>E7+E8-E15-E16</f>
        <v>17526.61</v>
      </c>
      <c r="E32" s="154">
        <f t="shared" ref="E32:G32" si="13">F7+F8-F15-F16</f>
        <v>18490.940500000001</v>
      </c>
      <c r="F32" s="154">
        <f t="shared" si="13"/>
        <v>19583.487525</v>
      </c>
      <c r="G32" s="154">
        <f t="shared" si="13"/>
        <v>20646.661901250001</v>
      </c>
      <c r="H32" s="30">
        <f>C32*1.05</f>
        <v>17438.61</v>
      </c>
    </row>
    <row r="33" spans="2:7" x14ac:dyDescent="0.45">
      <c r="B33" s="155" t="s">
        <v>76</v>
      </c>
      <c r="C33" s="153">
        <f>D11</f>
        <v>439.85399750786394</v>
      </c>
      <c r="D33" s="154">
        <f t="shared" ref="D33:G33" si="14">E11</f>
        <v>478.16868865231976</v>
      </c>
      <c r="E33" s="154">
        <f t="shared" si="14"/>
        <v>519.92659955909244</v>
      </c>
      <c r="F33" s="154">
        <f t="shared" si="14"/>
        <v>565.56303231190907</v>
      </c>
      <c r="G33" s="154">
        <f t="shared" si="14"/>
        <v>615.58038562527599</v>
      </c>
    </row>
    <row r="34" spans="2:7" x14ac:dyDescent="0.45">
      <c r="B34" s="150" t="s">
        <v>92</v>
      </c>
      <c r="C34" s="151">
        <f>D9+D17</f>
        <v>994.02976629971909</v>
      </c>
      <c r="D34" s="152">
        <f>E9+E17</f>
        <v>994.02976629971886</v>
      </c>
      <c r="E34" s="152">
        <f t="shared" ref="E34:G34" si="15">F9+F17</f>
        <v>994.02976629971886</v>
      </c>
      <c r="F34" s="152">
        <f t="shared" si="15"/>
        <v>994.02976629971909</v>
      </c>
      <c r="G34" s="152">
        <f t="shared" si="15"/>
        <v>994.02976629971897</v>
      </c>
    </row>
    <row r="35" spans="2:7" x14ac:dyDescent="0.45">
      <c r="B35" s="150" t="s">
        <v>93</v>
      </c>
      <c r="C35" s="151">
        <f>D13</f>
        <v>343.44</v>
      </c>
      <c r="D35" s="152">
        <f>E13</f>
        <v>360.61200000000002</v>
      </c>
      <c r="E35" s="152">
        <f t="shared" ref="E35:G35" si="16">F13</f>
        <v>378.64260000000002</v>
      </c>
      <c r="F35" s="152">
        <f t="shared" si="16"/>
        <v>397.57473000000005</v>
      </c>
      <c r="G35" s="152">
        <f t="shared" si="16"/>
        <v>417.45346650000005</v>
      </c>
    </row>
    <row r="36" spans="2:7" x14ac:dyDescent="0.45">
      <c r="B36" s="150" t="s">
        <v>94</v>
      </c>
      <c r="C36" s="153">
        <f>C32+C34+C31+C33+C35</f>
        <v>50020.383763807586</v>
      </c>
      <c r="D36" s="154">
        <f t="shared" ref="D36:G36" si="17">D32+D34+D31+D33+D35</f>
        <v>52576.023454952039</v>
      </c>
      <c r="E36" s="154">
        <f t="shared" si="17"/>
        <v>55260.972615858816</v>
      </c>
      <c r="F36" s="154">
        <f t="shared" si="17"/>
        <v>58161.959861111631</v>
      </c>
      <c r="G36" s="154">
        <f t="shared" si="17"/>
        <v>61126.095567550001</v>
      </c>
    </row>
    <row r="37" spans="2:7" x14ac:dyDescent="0.45">
      <c r="B37" s="40" t="s">
        <v>95</v>
      </c>
      <c r="C37" s="44">
        <f>C28-C36</f>
        <v>3425.6162361924144</v>
      </c>
      <c r="D37" s="135">
        <f>D29-D36</f>
        <v>6967.8927812403781</v>
      </c>
      <c r="E37" s="135">
        <f t="shared" ref="E37:F37" si="18">E29-E36</f>
        <v>10631.135165381565</v>
      </c>
      <c r="F37" s="135">
        <f t="shared" si="18"/>
        <v>14339.601054269944</v>
      </c>
      <c r="G37" s="135">
        <f>G29-G36</f>
        <v>18177.452524219945</v>
      </c>
    </row>
    <row r="38" spans="2:7" x14ac:dyDescent="0.45">
      <c r="B38" s="40"/>
      <c r="C38" s="40"/>
      <c r="D38" s="136"/>
      <c r="E38" s="136"/>
      <c r="F38" s="136"/>
      <c r="G38" s="136"/>
    </row>
    <row r="39" spans="2:7" x14ac:dyDescent="0.45">
      <c r="B39" s="40" t="s">
        <v>96</v>
      </c>
      <c r="C39" s="45">
        <f>D18</f>
        <v>3425.6162361924157</v>
      </c>
      <c r="D39" s="137">
        <f>E18</f>
        <v>3542.2765450479601</v>
      </c>
      <c r="E39" s="137">
        <f t="shared" ref="E39:G39" si="19">F18</f>
        <v>3663.2423841411869</v>
      </c>
      <c r="F39" s="137">
        <f t="shared" si="19"/>
        <v>3708.465888888376</v>
      </c>
      <c r="G39" s="137">
        <f t="shared" si="19"/>
        <v>3837.8514699500092</v>
      </c>
    </row>
  </sheetData>
  <pageMargins left="0.7" right="0.7" top="0.75" bottom="0.75" header="0.3" footer="0.3"/>
  <ignoredErrors>
    <ignoredError sqref="C34:G3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2FF9-F10D-437D-8B93-32C0F7D3B75D}">
  <dimension ref="B1:S27"/>
  <sheetViews>
    <sheetView tabSelected="1" topLeftCell="A10" zoomScale="115" zoomScaleNormal="115" workbookViewId="0">
      <selection activeCell="E26" sqref="E26"/>
    </sheetView>
  </sheetViews>
  <sheetFormatPr baseColWidth="10" defaultRowHeight="14.25" x14ac:dyDescent="0.45"/>
  <cols>
    <col min="3" max="3" width="18.73046875" customWidth="1"/>
    <col min="4" max="4" width="23.73046875" bestFit="1" customWidth="1"/>
    <col min="5" max="5" width="24" bestFit="1" customWidth="1"/>
    <col min="6" max="6" width="29" bestFit="1" customWidth="1"/>
    <col min="9" max="9" width="21.265625" bestFit="1" customWidth="1"/>
    <col min="11" max="11" width="24" bestFit="1" customWidth="1"/>
    <col min="12" max="12" width="29" bestFit="1" customWidth="1"/>
  </cols>
  <sheetData>
    <row r="1" spans="2:19" x14ac:dyDescent="0.45">
      <c r="D1" s="46"/>
    </row>
    <row r="3" spans="2:19" ht="14.65" thickBot="1" x14ac:dyDescent="0.5">
      <c r="D3" t="s">
        <v>137</v>
      </c>
      <c r="E3" s="46">
        <f>P19</f>
        <v>0.188</v>
      </c>
    </row>
    <row r="4" spans="2:19" ht="15.75" x14ac:dyDescent="0.5">
      <c r="B4" s="47" t="s">
        <v>97</v>
      </c>
      <c r="C4" s="48" t="s">
        <v>83</v>
      </c>
      <c r="D4" s="49" t="s">
        <v>98</v>
      </c>
      <c r="E4" s="50" t="s">
        <v>99</v>
      </c>
      <c r="F4" s="51" t="s">
        <v>100</v>
      </c>
      <c r="H4" s="47" t="s">
        <v>97</v>
      </c>
      <c r="I4" s="48" t="s">
        <v>83</v>
      </c>
      <c r="J4" s="49" t="s">
        <v>98</v>
      </c>
      <c r="K4" s="50" t="s">
        <v>99</v>
      </c>
      <c r="L4" s="51" t="s">
        <v>100</v>
      </c>
    </row>
    <row r="5" spans="2:19" ht="15.75" x14ac:dyDescent="0.5">
      <c r="B5" s="52"/>
      <c r="C5" s="53"/>
      <c r="D5" s="54" t="s">
        <v>101</v>
      </c>
      <c r="E5" s="55"/>
      <c r="F5" s="56"/>
      <c r="H5" s="52"/>
      <c r="I5" s="53"/>
      <c r="J5" s="54" t="s">
        <v>101</v>
      </c>
      <c r="K5" s="55"/>
      <c r="L5" s="56"/>
    </row>
    <row r="6" spans="2:19" x14ac:dyDescent="0.45">
      <c r="B6" s="57">
        <v>0</v>
      </c>
      <c r="C6" s="35">
        <f>'TAB AMOR'!D2*-1</f>
        <v>-13045.62</v>
      </c>
      <c r="D6" s="58">
        <f>1/(POWER((1+$D$17),B6))</f>
        <v>1</v>
      </c>
      <c r="E6" s="59">
        <f>C6*D6</f>
        <v>-13045.62</v>
      </c>
      <c r="F6" s="60">
        <f>E6</f>
        <v>-13045.62</v>
      </c>
      <c r="H6" s="57">
        <v>0</v>
      </c>
      <c r="I6" s="61">
        <f>C6</f>
        <v>-13045.62</v>
      </c>
      <c r="J6" s="58">
        <f>1/(POWER((1+$J$18),H6))</f>
        <v>1</v>
      </c>
      <c r="K6" s="59">
        <f>I6*J6</f>
        <v>-13045.62</v>
      </c>
      <c r="L6" s="60">
        <f>K6</f>
        <v>-13045.62</v>
      </c>
    </row>
    <row r="7" spans="2:19" x14ac:dyDescent="0.45">
      <c r="B7" s="57">
        <v>1</v>
      </c>
      <c r="C7" s="35">
        <f>[1]ER!D18</f>
        <v>3425.6162361924157</v>
      </c>
      <c r="D7" s="58">
        <f>1/(POWER((1+$D$17),B7))</f>
        <v>0.84175084175084181</v>
      </c>
      <c r="E7" s="59">
        <f t="shared" ref="E7:E11" si="0">C7*D7</f>
        <v>2883.5153503303163</v>
      </c>
      <c r="F7" s="60">
        <f>F6+E7</f>
        <v>-10162.104649669684</v>
      </c>
      <c r="H7" s="57">
        <v>1</v>
      </c>
      <c r="I7" s="61">
        <f t="shared" ref="I6:I11" si="1">C7</f>
        <v>3425.6162361924157</v>
      </c>
      <c r="J7" s="58">
        <f t="shared" ref="J7:J11" si="2">1/(POWER((1+$J$18),H7))</f>
        <v>0.89337120305959516</v>
      </c>
      <c r="K7" s="59">
        <f t="shared" ref="K7:K11" si="3">I7*J7</f>
        <v>3060.3468981477008</v>
      </c>
      <c r="L7" s="60">
        <f>L6+K7</f>
        <v>-9985.2731018523009</v>
      </c>
    </row>
    <row r="8" spans="2:19" x14ac:dyDescent="0.45">
      <c r="B8" s="57">
        <v>2</v>
      </c>
      <c r="C8" s="35">
        <f>[1]ER!E18</f>
        <v>3542.2765450479601</v>
      </c>
      <c r="D8" s="58">
        <f t="shared" ref="D7:D11" si="4">1/(POWER((1+$D$17),B8))</f>
        <v>0.70854447958825062</v>
      </c>
      <c r="E8" s="59">
        <f t="shared" si="0"/>
        <v>2509.8604911686734</v>
      </c>
      <c r="F8" s="60">
        <f t="shared" ref="F8:F11" si="5">F7+E8</f>
        <v>-7652.2441585010101</v>
      </c>
      <c r="H8" s="57">
        <v>2</v>
      </c>
      <c r="I8" s="61">
        <f t="shared" si="1"/>
        <v>3542.2765450479601</v>
      </c>
      <c r="J8" s="58">
        <f t="shared" si="2"/>
        <v>0.79811210645614838</v>
      </c>
      <c r="K8" s="59">
        <f t="shared" si="3"/>
        <v>2827.1337950184352</v>
      </c>
      <c r="L8" s="60">
        <f t="shared" ref="L8:L11" si="6">L7+K8</f>
        <v>-7158.1393068338657</v>
      </c>
      <c r="P8" s="158" t="s">
        <v>140</v>
      </c>
      <c r="R8" t="s">
        <v>139</v>
      </c>
    </row>
    <row r="9" spans="2:19" x14ac:dyDescent="0.45">
      <c r="B9" s="57">
        <v>3</v>
      </c>
      <c r="C9" s="35">
        <f>[1]ER!F18</f>
        <v>3663.2423841411869</v>
      </c>
      <c r="D9" s="58">
        <f t="shared" si="4"/>
        <v>0.59641791211132211</v>
      </c>
      <c r="E9" s="59">
        <f t="shared" si="0"/>
        <v>2184.8233743071887</v>
      </c>
      <c r="F9" s="60">
        <f t="shared" si="5"/>
        <v>-5467.4207841938214</v>
      </c>
      <c r="H9" s="57">
        <v>3</v>
      </c>
      <c r="I9" s="61">
        <f t="shared" si="1"/>
        <v>3663.2423841411869</v>
      </c>
      <c r="J9" s="58">
        <f t="shared" si="2"/>
        <v>0.71301037272115697</v>
      </c>
      <c r="K9" s="59">
        <f t="shared" si="3"/>
        <v>2611.9298176844472</v>
      </c>
      <c r="L9" s="60">
        <f t="shared" si="6"/>
        <v>-4546.209489149418</v>
      </c>
      <c r="P9" t="s">
        <v>141</v>
      </c>
      <c r="R9" t="s">
        <v>142</v>
      </c>
    </row>
    <row r="10" spans="2:19" x14ac:dyDescent="0.45">
      <c r="B10" s="57">
        <v>4</v>
      </c>
      <c r="C10" s="35">
        <f>[1]ER!G18</f>
        <v>3708.465888888376</v>
      </c>
      <c r="D10" s="58">
        <f t="shared" si="4"/>
        <v>0.50203527955498495</v>
      </c>
      <c r="E10" s="59">
        <f t="shared" si="0"/>
        <v>1861.7807092482017</v>
      </c>
      <c r="F10" s="60">
        <f t="shared" si="5"/>
        <v>-3605.6400749456197</v>
      </c>
      <c r="H10" s="57">
        <v>4</v>
      </c>
      <c r="I10" s="61">
        <f t="shared" si="1"/>
        <v>3708.465888888376</v>
      </c>
      <c r="J10" s="58">
        <f t="shared" si="2"/>
        <v>0.63698293447187027</v>
      </c>
      <c r="K10" s="59">
        <f t="shared" si="3"/>
        <v>2362.2294842929505</v>
      </c>
      <c r="L10" s="60">
        <f t="shared" si="6"/>
        <v>-2183.9800048564675</v>
      </c>
      <c r="P10" t="s">
        <v>143</v>
      </c>
    </row>
    <row r="11" spans="2:19" ht="14.65" thickBot="1" x14ac:dyDescent="0.5">
      <c r="B11" s="62">
        <v>5</v>
      </c>
      <c r="C11" s="35">
        <f>[1]ER!H18</f>
        <v>3837.8514699500092</v>
      </c>
      <c r="D11" s="58">
        <f t="shared" si="4"/>
        <v>0.42258861915402773</v>
      </c>
      <c r="E11" s="59">
        <f t="shared" si="0"/>
        <v>1621.8323532044299</v>
      </c>
      <c r="F11" s="60">
        <f t="shared" si="5"/>
        <v>-1983.8077217411899</v>
      </c>
      <c r="H11" s="62">
        <v>5</v>
      </c>
      <c r="I11" s="61">
        <f t="shared" si="1"/>
        <v>3837.8514699500092</v>
      </c>
      <c r="J11" s="58">
        <f t="shared" si="2"/>
        <v>0.569062210497566</v>
      </c>
      <c r="K11" s="59">
        <f t="shared" si="3"/>
        <v>2183.9762410510853</v>
      </c>
      <c r="L11" s="63">
        <f t="shared" si="6"/>
        <v>-3.7638053822774964E-3</v>
      </c>
    </row>
    <row r="12" spans="2:19" x14ac:dyDescent="0.45">
      <c r="E12" s="32">
        <f>SUM(E7:E11)</f>
        <v>11061.812278258811</v>
      </c>
      <c r="N12" s="64"/>
      <c r="O12" s="65" t="s">
        <v>102</v>
      </c>
      <c r="P12" s="66"/>
      <c r="Q12" s="64" t="s">
        <v>103</v>
      </c>
      <c r="R12" s="65" t="s">
        <v>104</v>
      </c>
      <c r="S12" s="66"/>
    </row>
    <row r="13" spans="2:19" ht="14.65" thickBot="1" x14ac:dyDescent="0.5">
      <c r="N13" s="64"/>
      <c r="O13" s="64"/>
      <c r="P13" s="64"/>
      <c r="Q13" s="64"/>
      <c r="R13" s="64"/>
      <c r="S13" s="64"/>
    </row>
    <row r="14" spans="2:19" ht="14.65" thickBot="1" x14ac:dyDescent="0.5">
      <c r="C14" s="67" t="s">
        <v>105</v>
      </c>
      <c r="D14" s="68">
        <f>NPV(D17,C7:C11)+C6</f>
        <v>-1983.8077217411883</v>
      </c>
      <c r="I14" s="67" t="s">
        <v>105</v>
      </c>
      <c r="N14" s="64"/>
      <c r="O14" s="64"/>
      <c r="P14" s="69">
        <f>'TAB AMOR'!C5</f>
        <v>3913.6860000000001</v>
      </c>
      <c r="Q14" s="64"/>
      <c r="R14" s="64"/>
      <c r="S14" s="70">
        <f>'TAB AMOR'!N2</f>
        <v>9131.9340000000011</v>
      </c>
    </row>
    <row r="15" spans="2:19" ht="14.65" thickBot="1" x14ac:dyDescent="0.5">
      <c r="C15" s="71"/>
      <c r="G15" s="72"/>
      <c r="I15" s="71"/>
      <c r="J15" s="68">
        <f>NPV(J17,I7:I11)+I6</f>
        <v>5131.832524219948</v>
      </c>
      <c r="N15" s="64" t="s">
        <v>106</v>
      </c>
      <c r="O15" s="64">
        <v>0.16</v>
      </c>
      <c r="P15" s="69">
        <f>P14+S14</f>
        <v>13045.62</v>
      </c>
      <c r="Q15" s="64">
        <f>1</f>
        <v>1</v>
      </c>
      <c r="R15" s="64">
        <v>0.2</v>
      </c>
      <c r="S15" s="69">
        <f>P15</f>
        <v>13045.62</v>
      </c>
    </row>
    <row r="16" spans="2:19" ht="15.75" x14ac:dyDescent="0.5">
      <c r="D16" s="73" t="s">
        <v>107</v>
      </c>
      <c r="G16" s="74"/>
      <c r="J16" s="73" t="s">
        <v>107</v>
      </c>
      <c r="N16" s="64"/>
      <c r="O16" s="64"/>
      <c r="P16" s="64"/>
      <c r="Q16" s="64"/>
      <c r="R16" s="64"/>
      <c r="S16" s="64"/>
    </row>
    <row r="17" spans="3:19" ht="14.65" thickBot="1" x14ac:dyDescent="0.5">
      <c r="D17" s="75">
        <f>P19</f>
        <v>0.188</v>
      </c>
      <c r="J17" s="76"/>
      <c r="N17" s="64"/>
      <c r="O17" s="64"/>
      <c r="P17" s="157">
        <f>P14/P15*O15</f>
        <v>4.8000000000000001E-2</v>
      </c>
      <c r="Q17" s="64">
        <f>Q15</f>
        <v>1</v>
      </c>
      <c r="R17" s="64">
        <f>R15*S14/S15</f>
        <v>0.14000000000000001</v>
      </c>
      <c r="S17" s="64"/>
    </row>
    <row r="18" spans="3:19" x14ac:dyDescent="0.45">
      <c r="J18" s="77">
        <f>FLC!D20</f>
        <v>0.11935553393172427</v>
      </c>
      <c r="N18" s="64"/>
      <c r="O18" s="64"/>
      <c r="P18" s="64"/>
      <c r="Q18" s="64"/>
      <c r="R18" s="64"/>
      <c r="S18" s="64"/>
    </row>
    <row r="19" spans="3:19" x14ac:dyDescent="0.45">
      <c r="N19" s="64"/>
      <c r="O19" s="64"/>
      <c r="P19" s="78">
        <f>P17*Q17+R17</f>
        <v>0.188</v>
      </c>
      <c r="Q19" s="64"/>
      <c r="R19" s="64"/>
      <c r="S19" s="64"/>
    </row>
    <row r="21" spans="3:19" x14ac:dyDescent="0.45">
      <c r="I21" s="79" t="s">
        <v>108</v>
      </c>
      <c r="J21" s="79" t="s">
        <v>109</v>
      </c>
      <c r="K21" s="79"/>
      <c r="L21" s="79"/>
    </row>
    <row r="22" spans="3:19" x14ac:dyDescent="0.45">
      <c r="C22" s="80" t="s">
        <v>110</v>
      </c>
      <c r="D22" s="80"/>
      <c r="E22" s="80"/>
      <c r="F22" s="80"/>
      <c r="G22" s="80"/>
      <c r="I22" s="79"/>
      <c r="J22" s="79"/>
      <c r="K22" s="79"/>
      <c r="L22" s="79"/>
      <c r="Q22" s="74"/>
    </row>
    <row r="23" spans="3:19" x14ac:dyDescent="0.45">
      <c r="C23" s="80"/>
      <c r="D23" s="80"/>
      <c r="E23" s="80"/>
      <c r="F23" s="80"/>
      <c r="G23" s="80"/>
      <c r="I23" s="79" t="s">
        <v>108</v>
      </c>
      <c r="J23" s="81">
        <f>D17</f>
        <v>0.188</v>
      </c>
      <c r="K23" s="82">
        <f>J17-D17</f>
        <v>-0.188</v>
      </c>
      <c r="L23" s="83">
        <f>F11/(F11-L11)</f>
        <v>1.0000018972667977</v>
      </c>
    </row>
    <row r="24" spans="3:19" x14ac:dyDescent="0.45">
      <c r="C24" s="84" t="s">
        <v>111</v>
      </c>
      <c r="D24" s="85">
        <f>SUM(E7:E11)</f>
        <v>11061.812278258811</v>
      </c>
      <c r="E24" s="86"/>
      <c r="F24" s="87"/>
      <c r="G24" s="80"/>
      <c r="I24" s="79" t="s">
        <v>108</v>
      </c>
      <c r="J24" s="81">
        <f>J23</f>
        <v>0.188</v>
      </c>
      <c r="K24" s="82">
        <f>K23*L23</f>
        <v>-0.18800035668615797</v>
      </c>
      <c r="L24" s="79"/>
    </row>
    <row r="25" spans="3:19" ht="15.75" x14ac:dyDescent="0.5">
      <c r="C25" s="84"/>
      <c r="D25" s="88">
        <f>C6*-1</f>
        <v>13045.62</v>
      </c>
      <c r="E25" s="80"/>
      <c r="F25" s="80"/>
      <c r="G25" s="80"/>
      <c r="I25" s="79" t="s">
        <v>108</v>
      </c>
      <c r="J25" s="89">
        <f>J24+K24</f>
        <v>-3.5668615797068703E-7</v>
      </c>
      <c r="K25" s="79"/>
      <c r="L25" s="79"/>
    </row>
    <row r="26" spans="3:19" ht="14.65" thickBot="1" x14ac:dyDescent="0.5">
      <c r="C26" s="80"/>
      <c r="D26" s="80"/>
      <c r="E26" s="80"/>
      <c r="F26" s="80"/>
      <c r="G26" s="80"/>
    </row>
    <row r="27" spans="3:19" ht="14.65" thickBot="1" x14ac:dyDescent="0.5">
      <c r="C27" s="90" t="s">
        <v>111</v>
      </c>
      <c r="D27" s="91">
        <f>D24/D25</f>
        <v>0.84793304406067405</v>
      </c>
      <c r="E27" s="80"/>
      <c r="F27" s="80"/>
      <c r="G27" s="80"/>
    </row>
  </sheetData>
  <mergeCells count="13">
    <mergeCell ref="C24:C25"/>
    <mergeCell ref="K4:K5"/>
    <mergeCell ref="L4:L5"/>
    <mergeCell ref="O12:P12"/>
    <mergeCell ref="R12:S12"/>
    <mergeCell ref="C14:C15"/>
    <mergeCell ref="I14:I15"/>
    <mergeCell ref="B4:B5"/>
    <mergeCell ref="C4:C5"/>
    <mergeCell ref="E4:E5"/>
    <mergeCell ref="F4:F5"/>
    <mergeCell ref="H4:H5"/>
    <mergeCell ref="I4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1616-FD47-4DA8-8935-DCDF3CEAAAFD}">
  <dimension ref="B5:E15"/>
  <sheetViews>
    <sheetView workbookViewId="0">
      <selection activeCell="G22" sqref="G22"/>
    </sheetView>
  </sheetViews>
  <sheetFormatPr baseColWidth="10" defaultRowHeight="14.25" x14ac:dyDescent="0.45"/>
  <cols>
    <col min="2" max="2" width="12.73046875" bestFit="1" customWidth="1"/>
    <col min="3" max="3" width="14.73046875" bestFit="1" customWidth="1"/>
    <col min="4" max="4" width="12.73046875" bestFit="1" customWidth="1"/>
    <col min="5" max="5" width="20.1328125" bestFit="1" customWidth="1"/>
    <col min="9" max="9" width="11.3984375" customWidth="1"/>
  </cols>
  <sheetData>
    <row r="5" spans="2:5" ht="15" x14ac:dyDescent="0.45">
      <c r="B5" s="92" t="s">
        <v>112</v>
      </c>
      <c r="C5" s="92" t="s">
        <v>113</v>
      </c>
      <c r="D5" s="92" t="s">
        <v>114</v>
      </c>
      <c r="E5" s="92" t="s">
        <v>115</v>
      </c>
    </row>
    <row r="6" spans="2:5" ht="15" x14ac:dyDescent="0.45">
      <c r="B6" s="93">
        <v>0</v>
      </c>
      <c r="C6" s="94">
        <f>'[1]VAN-TIR'!I6*-1</f>
        <v>13045.616236192416</v>
      </c>
      <c r="D6" s="92"/>
      <c r="E6" s="92"/>
    </row>
    <row r="7" spans="2:5" ht="15" x14ac:dyDescent="0.45">
      <c r="B7" s="93">
        <v>1</v>
      </c>
      <c r="C7" s="92"/>
      <c r="D7" s="94">
        <f>'[1]VAN-TIR'!I7</f>
        <v>3425.6162361924157</v>
      </c>
      <c r="E7" s="94">
        <f>D7</f>
        <v>3425.6162361924157</v>
      </c>
    </row>
    <row r="8" spans="2:5" ht="15" x14ac:dyDescent="0.45">
      <c r="B8" s="95">
        <v>2</v>
      </c>
      <c r="C8" s="96"/>
      <c r="D8" s="94">
        <f>'[1]VAN-TIR'!I8</f>
        <v>3542.2765450479601</v>
      </c>
      <c r="E8" s="97">
        <f>E7+D8</f>
        <v>6967.8927812403763</v>
      </c>
    </row>
    <row r="9" spans="2:5" ht="15" x14ac:dyDescent="0.45">
      <c r="B9" s="95">
        <v>3</v>
      </c>
      <c r="C9" s="96"/>
      <c r="D9" s="94">
        <f>'[1]VAN-TIR'!I9</f>
        <v>3663.2423841411869</v>
      </c>
      <c r="E9" s="97">
        <f t="shared" ref="E9:E11" si="0">E8+D9</f>
        <v>10631.135165381564</v>
      </c>
    </row>
    <row r="10" spans="2:5" ht="15" x14ac:dyDescent="0.45">
      <c r="B10" s="95">
        <v>4</v>
      </c>
      <c r="C10" s="96"/>
      <c r="D10" s="94">
        <f>'[1]VAN-TIR'!I10</f>
        <v>3708.465888888376</v>
      </c>
      <c r="E10" s="97">
        <f t="shared" si="0"/>
        <v>14339.601054269941</v>
      </c>
    </row>
    <row r="11" spans="2:5" ht="15" x14ac:dyDescent="0.45">
      <c r="B11" s="95">
        <v>5</v>
      </c>
      <c r="C11" s="96"/>
      <c r="D11" s="94">
        <f>'[1]VAN-TIR'!I11</f>
        <v>3837.8514699500092</v>
      </c>
      <c r="E11" s="97">
        <f t="shared" si="0"/>
        <v>18177.452524219949</v>
      </c>
    </row>
    <row r="12" spans="2:5" ht="15" x14ac:dyDescent="0.45">
      <c r="B12" s="92"/>
      <c r="C12" s="98"/>
      <c r="D12" s="98"/>
      <c r="E12" s="92"/>
    </row>
    <row r="13" spans="2:5" ht="15" x14ac:dyDescent="0.45">
      <c r="B13" s="93" t="s">
        <v>116</v>
      </c>
      <c r="C13" s="93" t="s">
        <v>97</v>
      </c>
      <c r="D13" s="93" t="s">
        <v>117</v>
      </c>
      <c r="E13" s="93" t="s">
        <v>118</v>
      </c>
    </row>
    <row r="14" spans="2:5" ht="15" x14ac:dyDescent="0.45">
      <c r="B14" s="99">
        <f>D9</f>
        <v>3663.2423841411869</v>
      </c>
      <c r="C14" s="93">
        <v>1</v>
      </c>
      <c r="D14" s="93">
        <v>12</v>
      </c>
      <c r="E14" s="93">
        <v>30</v>
      </c>
    </row>
    <row r="15" spans="2:5" ht="15" x14ac:dyDescent="0.45">
      <c r="B15" s="99">
        <f>C6-E8</f>
        <v>6077.7234549520399</v>
      </c>
      <c r="C15" s="93">
        <f>B15/B14</f>
        <v>1.6591103775342744</v>
      </c>
      <c r="D15" s="93">
        <f>C15*D14</f>
        <v>19.909324530411293</v>
      </c>
      <c r="E15" s="100">
        <f>(D15-9)*E14</f>
        <v>327.27973591233882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DEMANDA</vt:lpstr>
      <vt:lpstr>VENTAS</vt:lpstr>
      <vt:lpstr>TAB AMOR</vt:lpstr>
      <vt:lpstr>PRESMKT</vt:lpstr>
      <vt:lpstr>PROMO</vt:lpstr>
      <vt:lpstr>DEP</vt:lpstr>
      <vt:lpstr>COST</vt:lpstr>
      <vt:lpstr>FLC</vt:lpstr>
      <vt:lpstr>VAN-TIR</vt:lpstr>
      <vt:lpstr>ACUMUL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2024-06-26T12:00:28Z</dcterms:created>
  <dcterms:modified xsi:type="dcterms:W3CDTF">2024-06-26T13:29:00Z</dcterms:modified>
</cp:coreProperties>
</file>