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\Desktop\2024-1S-ABRIL\AGRO2024-1S\SEXTO\"/>
    </mc:Choice>
  </mc:AlternateContent>
  <xr:revisionPtr revIDLastSave="0" documentId="13_ncr:1_{A4FAA606-25D6-4C56-A705-55CA404EBA0F}" xr6:coauthVersionLast="47" xr6:coauthVersionMax="47" xr10:uidLastSave="{00000000-0000-0000-0000-000000000000}"/>
  <bookViews>
    <workbookView xWindow="-98" yWindow="-98" windowWidth="19396" windowHeight="11475" tabRatio="815" activeTab="8" xr2:uid="{9195EE54-AA41-4657-9252-E99E7EADB2A9}"/>
  </bookViews>
  <sheets>
    <sheet name="DEMANDA" sheetId="14" r:id="rId1"/>
    <sheet name="TAB AMOR" sheetId="6" r:id="rId2"/>
    <sheet name="VENTAS" sheetId="1" r:id="rId3"/>
    <sheet name="PROMO" sheetId="8" r:id="rId4"/>
    <sheet name="PRESMKT" sheetId="9" r:id="rId5"/>
    <sheet name="SYS" sheetId="13" r:id="rId6"/>
    <sheet name="DEP" sheetId="3" r:id="rId7"/>
    <sheet name="COST" sheetId="10" r:id="rId8"/>
    <sheet name="ER" sheetId="4" r:id="rId9"/>
    <sheet name="VAN-TIR" sheetId="7" r:id="rId10"/>
    <sheet name="ACUMUL" sheetId="11" r:id="rId11"/>
    <sheet name="BGENE" sheetId="2" r:id="rId12"/>
  </sheets>
  <definedNames>
    <definedName name="_Toc94713693" localSheetId="4">PRESMKT!#REF!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" i="6" l="1"/>
  <c r="J5" i="6"/>
  <c r="H7" i="13"/>
  <c r="H8" i="13"/>
  <c r="H9" i="13"/>
  <c r="H10" i="13"/>
  <c r="H11" i="13"/>
  <c r="H12" i="13"/>
  <c r="H13" i="13"/>
  <c r="H14" i="13"/>
  <c r="H15" i="13"/>
  <c r="H16" i="13"/>
  <c r="H17" i="13"/>
  <c r="H6" i="13"/>
  <c r="H24" i="13"/>
  <c r="H25" i="13"/>
  <c r="H26" i="13"/>
  <c r="H27" i="13"/>
  <c r="H28" i="13"/>
  <c r="H29" i="13"/>
  <c r="H30" i="13"/>
  <c r="H31" i="13"/>
  <c r="H32" i="13"/>
  <c r="H33" i="13"/>
  <c r="H34" i="13"/>
  <c r="H23" i="13"/>
  <c r="K5" i="6" l="1"/>
  <c r="S34" i="13"/>
  <c r="N34" i="13"/>
  <c r="M34" i="13"/>
  <c r="O34" i="13" s="1"/>
  <c r="R34" i="13" s="1"/>
  <c r="D34" i="13"/>
  <c r="C34" i="13"/>
  <c r="E34" i="13" s="1"/>
  <c r="I34" i="13" s="1"/>
  <c r="S33" i="13"/>
  <c r="N33" i="13"/>
  <c r="M33" i="13"/>
  <c r="O33" i="13" s="1"/>
  <c r="R33" i="13" s="1"/>
  <c r="D33" i="13"/>
  <c r="C33" i="13"/>
  <c r="E33" i="13" s="1"/>
  <c r="I33" i="13" s="1"/>
  <c r="S32" i="13"/>
  <c r="N32" i="13"/>
  <c r="M32" i="13"/>
  <c r="O32" i="13" s="1"/>
  <c r="R32" i="13" s="1"/>
  <c r="D32" i="13"/>
  <c r="C32" i="13"/>
  <c r="E32" i="13" s="1"/>
  <c r="I32" i="13" s="1"/>
  <c r="S31" i="13"/>
  <c r="N31" i="13"/>
  <c r="M31" i="13"/>
  <c r="O31" i="13" s="1"/>
  <c r="R31" i="13" s="1"/>
  <c r="D31" i="13"/>
  <c r="C31" i="13"/>
  <c r="E31" i="13" s="1"/>
  <c r="I31" i="13" s="1"/>
  <c r="S30" i="13"/>
  <c r="N30" i="13"/>
  <c r="M30" i="13"/>
  <c r="O30" i="13" s="1"/>
  <c r="R30" i="13" s="1"/>
  <c r="D30" i="13"/>
  <c r="C30" i="13"/>
  <c r="E30" i="13" s="1"/>
  <c r="I30" i="13" s="1"/>
  <c r="S29" i="13"/>
  <c r="O29" i="13"/>
  <c r="R29" i="13" s="1"/>
  <c r="N29" i="13"/>
  <c r="M29" i="13"/>
  <c r="D29" i="13"/>
  <c r="C29" i="13"/>
  <c r="E29" i="13" s="1"/>
  <c r="I29" i="13" s="1"/>
  <c r="S28" i="13"/>
  <c r="N28" i="13"/>
  <c r="M28" i="13"/>
  <c r="O28" i="13" s="1"/>
  <c r="R28" i="13" s="1"/>
  <c r="D28" i="13"/>
  <c r="C28" i="13"/>
  <c r="E28" i="13" s="1"/>
  <c r="I28" i="13" s="1"/>
  <c r="S27" i="13"/>
  <c r="N27" i="13"/>
  <c r="M27" i="13"/>
  <c r="O27" i="13" s="1"/>
  <c r="R27" i="13" s="1"/>
  <c r="D27" i="13"/>
  <c r="C27" i="13"/>
  <c r="E27" i="13" s="1"/>
  <c r="I27" i="13" s="1"/>
  <c r="S26" i="13"/>
  <c r="N26" i="13"/>
  <c r="M26" i="13"/>
  <c r="O26" i="13" s="1"/>
  <c r="R26" i="13" s="1"/>
  <c r="D26" i="13"/>
  <c r="C26" i="13"/>
  <c r="E26" i="13" s="1"/>
  <c r="I26" i="13" s="1"/>
  <c r="S25" i="13"/>
  <c r="N25" i="13"/>
  <c r="M25" i="13"/>
  <c r="O25" i="13" s="1"/>
  <c r="R25" i="13" s="1"/>
  <c r="D25" i="13"/>
  <c r="C25" i="13"/>
  <c r="E25" i="13" s="1"/>
  <c r="I25" i="13" s="1"/>
  <c r="S24" i="13"/>
  <c r="N24" i="13"/>
  <c r="M24" i="13"/>
  <c r="O24" i="13" s="1"/>
  <c r="R24" i="13" s="1"/>
  <c r="D24" i="13"/>
  <c r="C24" i="13"/>
  <c r="E24" i="13" s="1"/>
  <c r="I24" i="13" s="1"/>
  <c r="S23" i="13"/>
  <c r="N23" i="13"/>
  <c r="M23" i="13"/>
  <c r="O23" i="13" s="1"/>
  <c r="R23" i="13" s="1"/>
  <c r="D23" i="13"/>
  <c r="C23" i="13"/>
  <c r="E23" i="13" s="1"/>
  <c r="I23" i="13" s="1"/>
  <c r="D17" i="13"/>
  <c r="C17" i="13"/>
  <c r="E17" i="13" s="1"/>
  <c r="I17" i="13" s="1"/>
  <c r="S16" i="13"/>
  <c r="N16" i="13"/>
  <c r="M16" i="13"/>
  <c r="O16" i="13" s="1"/>
  <c r="R16" i="13" s="1"/>
  <c r="D16" i="13"/>
  <c r="C16" i="13"/>
  <c r="E16" i="13" s="1"/>
  <c r="I16" i="13" s="1"/>
  <c r="S15" i="13"/>
  <c r="N15" i="13"/>
  <c r="M15" i="13"/>
  <c r="O15" i="13" s="1"/>
  <c r="R15" i="13" s="1"/>
  <c r="D15" i="13"/>
  <c r="C15" i="13"/>
  <c r="E15" i="13" s="1"/>
  <c r="I15" i="13" s="1"/>
  <c r="S14" i="13"/>
  <c r="N14" i="13"/>
  <c r="M14" i="13"/>
  <c r="O14" i="13" s="1"/>
  <c r="R14" i="13" s="1"/>
  <c r="D14" i="13"/>
  <c r="C14" i="13"/>
  <c r="E14" i="13" s="1"/>
  <c r="I14" i="13" s="1"/>
  <c r="S13" i="13"/>
  <c r="N13" i="13"/>
  <c r="M13" i="13"/>
  <c r="O13" i="13" s="1"/>
  <c r="R13" i="13" s="1"/>
  <c r="D13" i="13"/>
  <c r="C13" i="13"/>
  <c r="E13" i="13" s="1"/>
  <c r="I13" i="13" s="1"/>
  <c r="S12" i="13"/>
  <c r="O12" i="13"/>
  <c r="R12" i="13" s="1"/>
  <c r="N12" i="13"/>
  <c r="M12" i="13"/>
  <c r="D12" i="13"/>
  <c r="C12" i="13"/>
  <c r="E12" i="13" s="1"/>
  <c r="I12" i="13" s="1"/>
  <c r="S11" i="13"/>
  <c r="N11" i="13"/>
  <c r="M11" i="13"/>
  <c r="O11" i="13" s="1"/>
  <c r="R11" i="13" s="1"/>
  <c r="D11" i="13"/>
  <c r="C11" i="13"/>
  <c r="E11" i="13" s="1"/>
  <c r="I11" i="13" s="1"/>
  <c r="S10" i="13"/>
  <c r="N10" i="13"/>
  <c r="M10" i="13"/>
  <c r="O10" i="13" s="1"/>
  <c r="R10" i="13" s="1"/>
  <c r="D10" i="13"/>
  <c r="C10" i="13"/>
  <c r="E10" i="13" s="1"/>
  <c r="I10" i="13" s="1"/>
  <c r="S9" i="13"/>
  <c r="N9" i="13"/>
  <c r="M9" i="13"/>
  <c r="O9" i="13" s="1"/>
  <c r="R9" i="13" s="1"/>
  <c r="D9" i="13"/>
  <c r="C9" i="13"/>
  <c r="E9" i="13" s="1"/>
  <c r="I9" i="13" s="1"/>
  <c r="S8" i="13"/>
  <c r="N8" i="13"/>
  <c r="M8" i="13"/>
  <c r="O8" i="13" s="1"/>
  <c r="R8" i="13" s="1"/>
  <c r="E8" i="13"/>
  <c r="I8" i="13" s="1"/>
  <c r="D8" i="13"/>
  <c r="C8" i="13"/>
  <c r="S7" i="13"/>
  <c r="N7" i="13"/>
  <c r="M7" i="13"/>
  <c r="O7" i="13" s="1"/>
  <c r="R7" i="13" s="1"/>
  <c r="D7" i="13"/>
  <c r="C7" i="13"/>
  <c r="E7" i="13" s="1"/>
  <c r="I7" i="13" s="1"/>
  <c r="S6" i="13"/>
  <c r="S17" i="13" s="1"/>
  <c r="N6" i="13"/>
  <c r="M6" i="13"/>
  <c r="O6" i="13" s="1"/>
  <c r="R6" i="13" s="1"/>
  <c r="D6" i="13"/>
  <c r="C6" i="13"/>
  <c r="E6" i="13" s="1"/>
  <c r="I6" i="13" s="1"/>
  <c r="S5" i="13"/>
  <c r="N5" i="13"/>
  <c r="M5" i="13"/>
  <c r="O5" i="13" s="1"/>
  <c r="R5" i="13" s="1"/>
  <c r="G10" i="10"/>
  <c r="H10" i="10"/>
  <c r="I10" i="10" s="1"/>
  <c r="J10" i="10" s="1"/>
  <c r="G11" i="10"/>
  <c r="H11" i="10"/>
  <c r="I11" i="10"/>
  <c r="J11" i="10" s="1"/>
  <c r="G12" i="10"/>
  <c r="H12" i="10" s="1"/>
  <c r="I12" i="10" s="1"/>
  <c r="J12" i="10" s="1"/>
  <c r="K7" i="4"/>
  <c r="J7" i="4"/>
  <c r="J10" i="4"/>
  <c r="C9" i="2"/>
  <c r="C27" i="2"/>
  <c r="C5" i="6"/>
  <c r="C10" i="6" s="1"/>
  <c r="E15" i="2"/>
  <c r="E32" i="2"/>
  <c r="S14" i="7"/>
  <c r="C31" i="2"/>
  <c r="C24" i="2"/>
  <c r="C33" i="2" s="1"/>
  <c r="F5" i="1"/>
  <c r="H5" i="1" s="1"/>
  <c r="F11" i="1"/>
  <c r="G11" i="1" s="1"/>
  <c r="E21" i="1"/>
  <c r="G16" i="10"/>
  <c r="H16" i="10" s="1"/>
  <c r="I16" i="10" s="1"/>
  <c r="J16" i="10" s="1"/>
  <c r="D13" i="4"/>
  <c r="I5" i="6" l="1"/>
  <c r="I19" i="13"/>
  <c r="D8" i="10" s="1"/>
  <c r="G8" i="10" s="1"/>
  <c r="H8" i="10" s="1"/>
  <c r="I36" i="13"/>
  <c r="D15" i="10" s="1"/>
  <c r="G15" i="10" s="1"/>
  <c r="G14" i="10" s="1"/>
  <c r="R18" i="13"/>
  <c r="D18" i="13"/>
  <c r="R36" i="13"/>
  <c r="N17" i="13"/>
  <c r="S35" i="13"/>
  <c r="N35" i="13"/>
  <c r="L17" i="6"/>
  <c r="L13" i="6"/>
  <c r="L9" i="6"/>
  <c r="L16" i="6"/>
  <c r="L12" i="6"/>
  <c r="L8" i="6"/>
  <c r="L6" i="6"/>
  <c r="L15" i="6"/>
  <c r="L11" i="6"/>
  <c r="P14" i="7"/>
  <c r="P15" i="7" s="1"/>
  <c r="G31" i="2"/>
  <c r="E28" i="2"/>
  <c r="E33" i="2" s="1"/>
  <c r="G5" i="1"/>
  <c r="H11" i="1"/>
  <c r="F14" i="10"/>
  <c r="D36" i="2" l="1"/>
  <c r="I8" i="10"/>
  <c r="L7" i="6"/>
  <c r="O16" i="6" s="1"/>
  <c r="L10" i="6"/>
  <c r="L14" i="6"/>
  <c r="J8" i="10"/>
  <c r="D8" i="4"/>
  <c r="E8" i="4" s="1"/>
  <c r="I6" i="6"/>
  <c r="J6" i="6" s="1"/>
  <c r="F8" i="9"/>
  <c r="F5" i="6" l="1"/>
  <c r="F10" i="6"/>
  <c r="F8" i="4"/>
  <c r="G8" i="4" s="1"/>
  <c r="H8" i="4" s="1"/>
  <c r="H15" i="10"/>
  <c r="H14" i="10" s="1"/>
  <c r="K6" i="6"/>
  <c r="H7" i="9"/>
  <c r="F15" i="8"/>
  <c r="G15" i="8" s="1"/>
  <c r="F13" i="8"/>
  <c r="F14" i="8" s="1"/>
  <c r="G14" i="8" s="1"/>
  <c r="F12" i="8"/>
  <c r="G12" i="8" s="1"/>
  <c r="F11" i="8"/>
  <c r="G11" i="8" s="1"/>
  <c r="F10" i="8"/>
  <c r="G10" i="8" s="1"/>
  <c r="D15" i="8"/>
  <c r="D13" i="8"/>
  <c r="D14" i="8" s="1"/>
  <c r="D12" i="8"/>
  <c r="D11" i="8"/>
  <c r="D10" i="8"/>
  <c r="C35" i="4"/>
  <c r="I15" i="10" l="1"/>
  <c r="I7" i="6"/>
  <c r="G13" i="8"/>
  <c r="E13" i="4"/>
  <c r="Q15" i="7"/>
  <c r="Q17" i="7" s="1"/>
  <c r="F13" i="4" l="1"/>
  <c r="D35" i="4"/>
  <c r="J15" i="10"/>
  <c r="J14" i="10" s="1"/>
  <c r="I14" i="10"/>
  <c r="J7" i="6"/>
  <c r="F6" i="1"/>
  <c r="G6" i="1" s="1"/>
  <c r="F7" i="1"/>
  <c r="G7" i="1" s="1"/>
  <c r="F8" i="1"/>
  <c r="G8" i="1" s="1"/>
  <c r="F9" i="1"/>
  <c r="G9" i="1" s="1"/>
  <c r="F10" i="1"/>
  <c r="G10" i="1" s="1"/>
  <c r="F12" i="1"/>
  <c r="G12" i="1" s="1"/>
  <c r="F13" i="1"/>
  <c r="G13" i="1" s="1"/>
  <c r="F14" i="1"/>
  <c r="G14" i="1" s="1"/>
  <c r="F15" i="1"/>
  <c r="H15" i="1" s="1"/>
  <c r="F16" i="1"/>
  <c r="G16" i="1" s="1"/>
  <c r="F17" i="1"/>
  <c r="G17" i="1" s="1"/>
  <c r="F18" i="1"/>
  <c r="G18" i="1" s="1"/>
  <c r="F19" i="1"/>
  <c r="G19" i="1" s="1"/>
  <c r="F20" i="1"/>
  <c r="G20" i="1" s="1"/>
  <c r="G13" i="4" l="1"/>
  <c r="E35" i="4"/>
  <c r="H19" i="1"/>
  <c r="H10" i="1"/>
  <c r="G15" i="1"/>
  <c r="G21" i="1" s="1"/>
  <c r="D4" i="4" s="1"/>
  <c r="C28" i="4" s="1"/>
  <c r="C29" i="4" s="1"/>
  <c r="H16" i="1"/>
  <c r="H7" i="1"/>
  <c r="H6" i="1"/>
  <c r="H20" i="1"/>
  <c r="H12" i="1"/>
  <c r="L19" i="6"/>
  <c r="L23" i="6"/>
  <c r="L27" i="6"/>
  <c r="L31" i="6"/>
  <c r="L35" i="6"/>
  <c r="L39" i="6"/>
  <c r="L43" i="6"/>
  <c r="L47" i="6"/>
  <c r="L51" i="6"/>
  <c r="L55" i="6"/>
  <c r="L59" i="6"/>
  <c r="L63" i="6"/>
  <c r="L29" i="6"/>
  <c r="L37" i="6"/>
  <c r="L45" i="6"/>
  <c r="L53" i="6"/>
  <c r="L61" i="6"/>
  <c r="L22" i="6"/>
  <c r="L30" i="6"/>
  <c r="L38" i="6"/>
  <c r="L46" i="6"/>
  <c r="L54" i="6"/>
  <c r="L62" i="6"/>
  <c r="L20" i="6"/>
  <c r="L24" i="6"/>
  <c r="L28" i="6"/>
  <c r="L32" i="6"/>
  <c r="L36" i="6"/>
  <c r="L40" i="6"/>
  <c r="L44" i="6"/>
  <c r="L48" i="6"/>
  <c r="L52" i="6"/>
  <c r="L56" i="6"/>
  <c r="L60" i="6"/>
  <c r="L64" i="6"/>
  <c r="L21" i="6"/>
  <c r="L25" i="6"/>
  <c r="L33" i="6"/>
  <c r="L41" i="6"/>
  <c r="L49" i="6"/>
  <c r="L57" i="6"/>
  <c r="L18" i="6"/>
  <c r="L26" i="6"/>
  <c r="L34" i="6"/>
  <c r="L42" i="6"/>
  <c r="L50" i="6"/>
  <c r="L58" i="6"/>
  <c r="K7" i="6"/>
  <c r="H18" i="1"/>
  <c r="H14" i="1"/>
  <c r="H9" i="1"/>
  <c r="H17" i="1"/>
  <c r="H13" i="1"/>
  <c r="H8" i="1"/>
  <c r="H13" i="4" l="1"/>
  <c r="G35" i="4" s="1"/>
  <c r="F35" i="4"/>
  <c r="H21" i="1"/>
  <c r="D5" i="4" s="1"/>
  <c r="E6" i="10" s="1"/>
  <c r="O64" i="6"/>
  <c r="F14" i="6" s="1"/>
  <c r="O52" i="6"/>
  <c r="O28" i="6"/>
  <c r="O40" i="6"/>
  <c r="I8" i="6"/>
  <c r="E4" i="4"/>
  <c r="D28" i="4" s="1"/>
  <c r="F12" i="6" l="1"/>
  <c r="F11" i="6"/>
  <c r="F13" i="6"/>
  <c r="E19" i="10"/>
  <c r="F6" i="10"/>
  <c r="J8" i="6"/>
  <c r="E5" i="4"/>
  <c r="D31" i="4" s="1"/>
  <c r="C31" i="4"/>
  <c r="D6" i="4"/>
  <c r="F4" i="4"/>
  <c r="E28" i="4" s="1"/>
  <c r="F15" i="6" l="1"/>
  <c r="F5" i="4"/>
  <c r="E6" i="4"/>
  <c r="K8" i="6"/>
  <c r="G4" i="4"/>
  <c r="F28" i="4" s="1"/>
  <c r="F6" i="4"/>
  <c r="G5" i="4" l="1"/>
  <c r="G6" i="4" s="1"/>
  <c r="E31" i="4"/>
  <c r="I9" i="6"/>
  <c r="H4" i="4"/>
  <c r="H5" i="4" l="1"/>
  <c r="G31" i="4" s="1"/>
  <c r="F31" i="4"/>
  <c r="J9" i="6"/>
  <c r="H6" i="4"/>
  <c r="G28" i="4"/>
  <c r="K9" i="6" l="1"/>
  <c r="I10" i="6" l="1"/>
  <c r="J10" i="6" l="1"/>
  <c r="K10" i="6" s="1"/>
  <c r="I11" i="6" l="1"/>
  <c r="J11" i="6" l="1"/>
  <c r="K11" i="6" l="1"/>
  <c r="I12" i="6" s="1"/>
  <c r="J12" i="6" s="1"/>
  <c r="K12" i="6" l="1"/>
  <c r="I13" i="6" s="1"/>
  <c r="C17" i="3"/>
  <c r="E17" i="3" s="1"/>
  <c r="B17" i="3"/>
  <c r="C10" i="3"/>
  <c r="E10" i="3" s="1"/>
  <c r="B10" i="3"/>
  <c r="C9" i="3"/>
  <c r="E9" i="3" s="1"/>
  <c r="C8" i="3"/>
  <c r="E8" i="3" s="1"/>
  <c r="B9" i="3"/>
  <c r="B8" i="3"/>
  <c r="E11" i="3" l="1"/>
  <c r="C11" i="3"/>
  <c r="C18" i="3"/>
  <c r="J13" i="6"/>
  <c r="F10" i="3"/>
  <c r="F17" i="3"/>
  <c r="G13" i="10" s="1"/>
  <c r="E18" i="3"/>
  <c r="F8" i="3"/>
  <c r="F9" i="3" l="1"/>
  <c r="G9" i="3" s="1"/>
  <c r="D16" i="4"/>
  <c r="C17" i="2"/>
  <c r="C15" i="2" s="1"/>
  <c r="K13" i="6"/>
  <c r="I14" i="6" s="1"/>
  <c r="J14" i="6" s="1"/>
  <c r="G10" i="3"/>
  <c r="H10" i="3" s="1"/>
  <c r="I10" i="3" s="1"/>
  <c r="J10" i="3" s="1"/>
  <c r="G8" i="3"/>
  <c r="F18" i="3"/>
  <c r="E16" i="4" s="1"/>
  <c r="G17" i="3"/>
  <c r="H13" i="10" s="1"/>
  <c r="F11" i="3" l="1"/>
  <c r="J9" i="3"/>
  <c r="D15" i="4"/>
  <c r="C14" i="2"/>
  <c r="C10" i="2" s="1"/>
  <c r="D13" i="10"/>
  <c r="L65" i="6"/>
  <c r="H17" i="3"/>
  <c r="I13" i="10" s="1"/>
  <c r="G18" i="3"/>
  <c r="F16" i="4" s="1"/>
  <c r="H8" i="3"/>
  <c r="G11" i="3"/>
  <c r="F15" i="4" l="1"/>
  <c r="H9" i="10"/>
  <c r="H7" i="10" s="1"/>
  <c r="E15" i="4"/>
  <c r="G9" i="10"/>
  <c r="G7" i="10" s="1"/>
  <c r="D9" i="10"/>
  <c r="F7" i="10" s="1"/>
  <c r="K14" i="6"/>
  <c r="I15" i="6" s="1"/>
  <c r="J15" i="6" s="1"/>
  <c r="K15" i="6" s="1"/>
  <c r="I16" i="6" s="1"/>
  <c r="I17" i="3"/>
  <c r="J13" i="10" s="1"/>
  <c r="H18" i="3"/>
  <c r="G16" i="4" s="1"/>
  <c r="H11" i="3"/>
  <c r="I8" i="3"/>
  <c r="I11" i="3" s="1"/>
  <c r="G15" i="4" l="1"/>
  <c r="I9" i="10"/>
  <c r="I7" i="10" s="1"/>
  <c r="H15" i="4"/>
  <c r="J9" i="10"/>
  <c r="J7" i="10" s="1"/>
  <c r="L7" i="10"/>
  <c r="D7" i="4"/>
  <c r="E7" i="4" s="1"/>
  <c r="F7" i="4" s="1"/>
  <c r="G7" i="4" s="1"/>
  <c r="H7" i="4" s="1"/>
  <c r="D32" i="4"/>
  <c r="C32" i="4"/>
  <c r="J8" i="3"/>
  <c r="J16" i="6"/>
  <c r="J11" i="3"/>
  <c r="I18" i="3"/>
  <c r="J17" i="3"/>
  <c r="H32" i="4" l="1"/>
  <c r="J18" i="3"/>
  <c r="H16" i="4"/>
  <c r="K16" i="6"/>
  <c r="M16" i="6"/>
  <c r="D10" i="6" l="1"/>
  <c r="D5" i="6"/>
  <c r="E32" i="4"/>
  <c r="F32" i="4"/>
  <c r="I17" i="6"/>
  <c r="J17" i="6" s="1"/>
  <c r="K17" i="6" s="1"/>
  <c r="I18" i="6" s="1"/>
  <c r="J18" i="6" s="1"/>
  <c r="K18" i="6" s="1"/>
  <c r="N16" i="6"/>
  <c r="E5" i="6" l="1"/>
  <c r="D17" i="4" s="1"/>
  <c r="E10" i="6"/>
  <c r="D9" i="4"/>
  <c r="D10" i="4" s="1"/>
  <c r="D18" i="10"/>
  <c r="I19" i="6"/>
  <c r="J19" i="6" s="1"/>
  <c r="G32" i="4"/>
  <c r="C11" i="6" l="1"/>
  <c r="F17" i="10"/>
  <c r="F20" i="10" s="1"/>
  <c r="D19" i="10"/>
  <c r="D20" i="10" s="1"/>
  <c r="D11" i="4"/>
  <c r="C33" i="4" s="1"/>
  <c r="C34" i="4"/>
  <c r="K19" i="6"/>
  <c r="I20" i="6" s="1"/>
  <c r="J20" i="6" s="1"/>
  <c r="K20" i="6" s="1"/>
  <c r="C36" i="4" l="1"/>
  <c r="C37" i="4"/>
  <c r="D27" i="4" s="1"/>
  <c r="D29" i="4" s="1"/>
  <c r="D12" i="4"/>
  <c r="D14" i="4" s="1"/>
  <c r="I21" i="6"/>
  <c r="J21" i="6" s="1"/>
  <c r="K21" i="6" s="1"/>
  <c r="E16" i="2" l="1"/>
  <c r="E17" i="2" s="1"/>
  <c r="D18" i="4"/>
  <c r="C39" i="4" s="1"/>
  <c r="I22" i="6"/>
  <c r="J22" i="6" s="1"/>
  <c r="K22" i="6" s="1"/>
  <c r="C7" i="7" l="1"/>
  <c r="I7" i="7" s="1"/>
  <c r="D7" i="11" s="1"/>
  <c r="E7" i="11" s="1"/>
  <c r="C8" i="2"/>
  <c r="C7" i="2" s="1"/>
  <c r="C18" i="2" s="1"/>
  <c r="D2" i="6" s="1"/>
  <c r="I23" i="6"/>
  <c r="J23" i="6" s="1"/>
  <c r="K23" i="6" s="1"/>
  <c r="C18" i="4" l="1"/>
  <c r="C6" i="7"/>
  <c r="D25" i="7" s="1"/>
  <c r="S15" i="7"/>
  <c r="R17" i="7" s="1"/>
  <c r="P17" i="7"/>
  <c r="I24" i="6"/>
  <c r="J24" i="6" s="1"/>
  <c r="K24" i="6" s="1"/>
  <c r="I6" i="7" l="1"/>
  <c r="C6" i="11" s="1"/>
  <c r="P19" i="7"/>
  <c r="D17" i="7" s="1"/>
  <c r="D10" i="7" s="1"/>
  <c r="I25" i="6"/>
  <c r="J25" i="6" s="1"/>
  <c r="K25" i="6" s="1"/>
  <c r="D7" i="7" l="1"/>
  <c r="E7" i="7" s="1"/>
  <c r="D9" i="7"/>
  <c r="J23" i="7"/>
  <c r="J24" i="7" s="1"/>
  <c r="D8" i="7"/>
  <c r="D6" i="7"/>
  <c r="E6" i="7" s="1"/>
  <c r="F6" i="7" s="1"/>
  <c r="F7" i="7" s="1"/>
  <c r="D11" i="7"/>
  <c r="I26" i="6"/>
  <c r="J26" i="6" s="1"/>
  <c r="K26" i="6" s="1"/>
  <c r="I27" i="6" l="1"/>
  <c r="J27" i="6" s="1"/>
  <c r="K27" i="6" s="1"/>
  <c r="I28" i="6" l="1"/>
  <c r="J28" i="6" s="1"/>
  <c r="K28" i="6" l="1"/>
  <c r="N28" i="6" s="1"/>
  <c r="M28" i="6"/>
  <c r="D11" i="6" l="1"/>
  <c r="E11" i="6"/>
  <c r="I29" i="6"/>
  <c r="J29" i="6" s="1"/>
  <c r="E8" i="2" l="1"/>
  <c r="E9" i="4"/>
  <c r="C12" i="6"/>
  <c r="E11" i="2" s="1"/>
  <c r="E17" i="4"/>
  <c r="D34" i="4" s="1"/>
  <c r="E10" i="4"/>
  <c r="E11" i="4" s="1"/>
  <c r="K29" i="6"/>
  <c r="E12" i="2" l="1"/>
  <c r="E18" i="2" s="1"/>
  <c r="G17" i="2" s="1"/>
  <c r="G18" i="2" s="1"/>
  <c r="E12" i="4"/>
  <c r="E14" i="4" s="1"/>
  <c r="E18" i="4" s="1"/>
  <c r="D33" i="4"/>
  <c r="I30" i="6"/>
  <c r="F10" i="2" l="1"/>
  <c r="G14" i="2"/>
  <c r="D36" i="4"/>
  <c r="D37" i="4" s="1"/>
  <c r="E27" i="4" s="1"/>
  <c r="E29" i="4" s="1"/>
  <c r="D39" i="4"/>
  <c r="C8" i="7"/>
  <c r="J30" i="6"/>
  <c r="E8" i="7" l="1"/>
  <c r="F8" i="7" s="1"/>
  <c r="I8" i="7"/>
  <c r="D8" i="11" s="1"/>
  <c r="E8" i="11" s="1"/>
  <c r="B15" i="11" s="1"/>
  <c r="K30" i="6"/>
  <c r="I31" i="6" l="1"/>
  <c r="J31" i="6" l="1"/>
  <c r="K31" i="6" l="1"/>
  <c r="I32" i="6" l="1"/>
  <c r="J32" i="6" l="1"/>
  <c r="K32" i="6" l="1"/>
  <c r="I33" i="6" l="1"/>
  <c r="J33" i="6" l="1"/>
  <c r="K33" i="6" l="1"/>
  <c r="I34" i="6" l="1"/>
  <c r="J34" i="6" l="1"/>
  <c r="K34" i="6" s="1"/>
  <c r="I35" i="6" s="1"/>
  <c r="J35" i="6" l="1"/>
  <c r="K35" i="6" s="1"/>
  <c r="I36" i="6" s="1"/>
  <c r="J36" i="6" l="1"/>
  <c r="K36" i="6" s="1"/>
  <c r="I37" i="6" s="1"/>
  <c r="J37" i="6" l="1"/>
  <c r="K37" i="6" s="1"/>
  <c r="I38" i="6" s="1"/>
  <c r="J38" i="6" l="1"/>
  <c r="K38" i="6" s="1"/>
  <c r="I39" i="6" s="1"/>
  <c r="J39" i="6" l="1"/>
  <c r="K39" i="6" s="1"/>
  <c r="I40" i="6" s="1"/>
  <c r="J40" i="6" l="1"/>
  <c r="K40" i="6" l="1"/>
  <c r="M40" i="6"/>
  <c r="D12" i="6" l="1"/>
  <c r="N40" i="6"/>
  <c r="I41" i="6"/>
  <c r="F9" i="4" l="1"/>
  <c r="E12" i="6"/>
  <c r="F10" i="4"/>
  <c r="F11" i="4" s="1"/>
  <c r="J41" i="6"/>
  <c r="C13" i="6" l="1"/>
  <c r="F17" i="4"/>
  <c r="E34" i="4" s="1"/>
  <c r="F12" i="4"/>
  <c r="F14" i="4" s="1"/>
  <c r="E33" i="4"/>
  <c r="K41" i="6"/>
  <c r="E36" i="4" l="1"/>
  <c r="E37" i="4" s="1"/>
  <c r="F27" i="4" s="1"/>
  <c r="F29" i="4" s="1"/>
  <c r="F18" i="4"/>
  <c r="C9" i="7" s="1"/>
  <c r="I9" i="7" s="1"/>
  <c r="I42" i="6"/>
  <c r="E39" i="4" l="1"/>
  <c r="E9" i="7"/>
  <c r="F9" i="7" s="1"/>
  <c r="J42" i="6"/>
  <c r="D9" i="11"/>
  <c r="B14" i="11" s="1"/>
  <c r="C15" i="11" s="1"/>
  <c r="D15" i="11" s="1"/>
  <c r="E15" i="11" s="1"/>
  <c r="E9" i="11" l="1"/>
  <c r="K42" i="6"/>
  <c r="I43" i="6" l="1"/>
  <c r="J43" i="6" l="1"/>
  <c r="K43" i="6" l="1"/>
  <c r="I44" i="6" l="1"/>
  <c r="J44" i="6" l="1"/>
  <c r="K44" i="6" l="1"/>
  <c r="I45" i="6" l="1"/>
  <c r="J45" i="6" l="1"/>
  <c r="K45" i="6" l="1"/>
  <c r="I46" i="6" l="1"/>
  <c r="J46" i="6" l="1"/>
  <c r="K46" i="6" l="1"/>
  <c r="I47" i="6" l="1"/>
  <c r="J47" i="6" l="1"/>
  <c r="K47" i="6" l="1"/>
  <c r="I48" i="6" l="1"/>
  <c r="J48" i="6" l="1"/>
  <c r="K48" i="6" l="1"/>
  <c r="I49" i="6" l="1"/>
  <c r="J49" i="6" l="1"/>
  <c r="K49" i="6" l="1"/>
  <c r="I50" i="6" l="1"/>
  <c r="J50" i="6" l="1"/>
  <c r="K50" i="6" s="1"/>
  <c r="I51" i="6" s="1"/>
  <c r="J51" i="6" l="1"/>
  <c r="K51" i="6" s="1"/>
  <c r="I52" i="6" s="1"/>
  <c r="J52" i="6" l="1"/>
  <c r="K52" i="6" l="1"/>
  <c r="M52" i="6"/>
  <c r="D13" i="6" l="1"/>
  <c r="N52" i="6"/>
  <c r="I53" i="6"/>
  <c r="G9" i="4" l="1"/>
  <c r="E13" i="6"/>
  <c r="G10" i="4"/>
  <c r="G11" i="4" s="1"/>
  <c r="J53" i="6"/>
  <c r="C14" i="6" l="1"/>
  <c r="G17" i="4"/>
  <c r="F34" i="4" s="1"/>
  <c r="G12" i="4"/>
  <c r="G14" i="4" s="1"/>
  <c r="F33" i="4"/>
  <c r="K53" i="6"/>
  <c r="F36" i="4" l="1"/>
  <c r="F37" i="4" s="1"/>
  <c r="G27" i="4" s="1"/>
  <c r="G29" i="4" s="1"/>
  <c r="G18" i="4"/>
  <c r="C10" i="7" s="1"/>
  <c r="E10" i="7" s="1"/>
  <c r="I54" i="6"/>
  <c r="I10" i="7" l="1"/>
  <c r="D10" i="11" s="1"/>
  <c r="E10" i="11" s="1"/>
  <c r="F39" i="4"/>
  <c r="F10" i="7"/>
  <c r="J54" i="6"/>
  <c r="K54" i="6" l="1"/>
  <c r="I55" i="6" l="1"/>
  <c r="J55" i="6" l="1"/>
  <c r="K55" i="6" l="1"/>
  <c r="I56" i="6" l="1"/>
  <c r="J56" i="6" l="1"/>
  <c r="K56" i="6" l="1"/>
  <c r="I57" i="6" l="1"/>
  <c r="J57" i="6" l="1"/>
  <c r="K57" i="6" l="1"/>
  <c r="I58" i="6" l="1"/>
  <c r="J58" i="6" l="1"/>
  <c r="K58" i="6" s="1"/>
  <c r="I59" i="6" s="1"/>
  <c r="J59" i="6" l="1"/>
  <c r="K59" i="6" s="1"/>
  <c r="I60" i="6" s="1"/>
  <c r="J60" i="6" l="1"/>
  <c r="K60" i="6" s="1"/>
  <c r="I61" i="6" s="1"/>
  <c r="J61" i="6" l="1"/>
  <c r="K61" i="6" s="1"/>
  <c r="I62" i="6" s="1"/>
  <c r="J62" i="6" l="1"/>
  <c r="K62" i="6" s="1"/>
  <c r="I63" i="6" s="1"/>
  <c r="J63" i="6" l="1"/>
  <c r="K63" i="6" s="1"/>
  <c r="I64" i="6" s="1"/>
  <c r="J64" i="6" s="1"/>
  <c r="K64" i="6" l="1"/>
  <c r="J65" i="6"/>
  <c r="M64" i="6"/>
  <c r="D14" i="6" l="1"/>
  <c r="D15" i="6" s="1"/>
  <c r="K65" i="6"/>
  <c r="N64" i="6"/>
  <c r="E14" i="6" s="1"/>
  <c r="E15" i="6" s="1"/>
  <c r="H9" i="4" l="1"/>
  <c r="H10" i="4" l="1"/>
  <c r="H11" i="4" s="1"/>
  <c r="G33" i="4" s="1"/>
  <c r="H17" i="4"/>
  <c r="G34" i="4" s="1"/>
  <c r="G36" i="4" s="1"/>
  <c r="H12" i="4" l="1"/>
  <c r="H14" i="4" s="1"/>
  <c r="H18" i="4" s="1"/>
  <c r="C22" i="4"/>
  <c r="J18" i="7" s="1"/>
  <c r="C21" i="4"/>
  <c r="G37" i="4"/>
  <c r="C11" i="7"/>
  <c r="D14" i="7" s="1"/>
  <c r="G39" i="4"/>
  <c r="J17" i="7" l="1"/>
  <c r="J6" i="7" s="1"/>
  <c r="K6" i="7" s="1"/>
  <c r="L6" i="7" s="1"/>
  <c r="E11" i="7"/>
  <c r="E12" i="7" s="1"/>
  <c r="I11" i="7"/>
  <c r="J7" i="7" l="1"/>
  <c r="K7" i="7" s="1"/>
  <c r="L7" i="7" s="1"/>
  <c r="J10" i="7"/>
  <c r="K10" i="7" s="1"/>
  <c r="J8" i="7"/>
  <c r="K8" i="7" s="1"/>
  <c r="J9" i="7"/>
  <c r="K9" i="7" s="1"/>
  <c r="J11" i="7"/>
  <c r="K11" i="7" s="1"/>
  <c r="J14" i="7"/>
  <c r="K23" i="7"/>
  <c r="F11" i="7"/>
  <c r="D24" i="7"/>
  <c r="D27" i="7" s="1"/>
  <c r="D11" i="11"/>
  <c r="E11" i="11" s="1"/>
  <c r="L8" i="7" l="1"/>
  <c r="L9" i="7" s="1"/>
  <c r="L10" i="7" s="1"/>
  <c r="L11" i="7" s="1"/>
  <c r="L23" i="7" s="1"/>
  <c r="K24" i="7" s="1"/>
  <c r="J25" i="7" s="1"/>
</calcChain>
</file>

<file path=xl/sharedStrings.xml><?xml version="1.0" encoding="utf-8"?>
<sst xmlns="http://schemas.openxmlformats.org/spreadsheetml/2006/main" count="383" uniqueCount="184">
  <si>
    <t xml:space="preserve">PRECIO UNITARIO </t>
  </si>
  <si>
    <t xml:space="preserve">PRECIO VENTA PUBLICO </t>
  </si>
  <si>
    <t xml:space="preserve">Producto </t>
  </si>
  <si>
    <t xml:space="preserve">Desinfectante </t>
  </si>
  <si>
    <t xml:space="preserve">Detergente liquido </t>
  </si>
  <si>
    <t xml:space="preserve">Suavizante de ropa </t>
  </si>
  <si>
    <t xml:space="preserve">Cloro liquido </t>
  </si>
  <si>
    <t>Quita sarro</t>
  </si>
  <si>
    <t>Ambiental</t>
  </si>
  <si>
    <t>Jabón liquido manos</t>
  </si>
  <si>
    <t>Alcohol potable</t>
  </si>
  <si>
    <t>Limpia vidrios</t>
  </si>
  <si>
    <t>Almoral</t>
  </si>
  <si>
    <t xml:space="preserve">Brillo de llantas </t>
  </si>
  <si>
    <t>Grafito</t>
  </si>
  <si>
    <t>Shampoo autos</t>
  </si>
  <si>
    <t>Lava vajillas liquido</t>
  </si>
  <si>
    <t xml:space="preserve">Desengrasante </t>
  </si>
  <si>
    <t>Activo</t>
  </si>
  <si>
    <t>Pasivo</t>
  </si>
  <si>
    <t>Activo Corriente</t>
  </si>
  <si>
    <t xml:space="preserve">Pasivo Corriente </t>
  </si>
  <si>
    <t>Caja</t>
  </si>
  <si>
    <t>Obligaciones bancarias</t>
  </si>
  <si>
    <t>Activo Fijo</t>
  </si>
  <si>
    <t>Pasivo no corrientes</t>
  </si>
  <si>
    <t>Equipo de computo</t>
  </si>
  <si>
    <t>Total de pasivo</t>
  </si>
  <si>
    <t>Muebles de oficina</t>
  </si>
  <si>
    <t>Depreciación</t>
  </si>
  <si>
    <t xml:space="preserve">Patrimonio </t>
  </si>
  <si>
    <t>Otros activos</t>
  </si>
  <si>
    <t>Capital</t>
  </si>
  <si>
    <t>Utilidad</t>
  </si>
  <si>
    <t>Total de patrimonio</t>
  </si>
  <si>
    <t>Amortizacion intagibles</t>
  </si>
  <si>
    <t>Total de activo</t>
  </si>
  <si>
    <t>Total de pasivo y patrimonio</t>
  </si>
  <si>
    <t xml:space="preserve">Inventarios </t>
  </si>
  <si>
    <t>Expresado en dolares</t>
  </si>
  <si>
    <t>Detalle</t>
  </si>
  <si>
    <t>Valor</t>
  </si>
  <si>
    <t>%</t>
  </si>
  <si>
    <t>Valor residual</t>
  </si>
  <si>
    <t xml:space="preserve">Depreciacion Inversion Fija   </t>
  </si>
  <si>
    <t>Maquinarias</t>
  </si>
  <si>
    <t>Total</t>
  </si>
  <si>
    <t xml:space="preserve">Depreciacion Inversion intangible   </t>
  </si>
  <si>
    <t>Ventas</t>
  </si>
  <si>
    <t>Utilidad Bruta</t>
  </si>
  <si>
    <t>(-) Gastos de Administracion</t>
  </si>
  <si>
    <t>(-) Gasto de Ventas</t>
  </si>
  <si>
    <t>(-) Gasto de Financiero</t>
  </si>
  <si>
    <t>Utilidad antes de impuestos</t>
  </si>
  <si>
    <t>Participacion trabajadores</t>
  </si>
  <si>
    <t>Utilidad neta</t>
  </si>
  <si>
    <t>(+) Depreciación</t>
  </si>
  <si>
    <t>(+) amortizacion int.</t>
  </si>
  <si>
    <t>(-) amortizacion bancaria</t>
  </si>
  <si>
    <t>Flujo de caja</t>
  </si>
  <si>
    <t>Costo de ventas</t>
  </si>
  <si>
    <t xml:space="preserve">Productos </t>
  </si>
  <si>
    <t>Demanda en unidades de producto</t>
  </si>
  <si>
    <t>Detergente</t>
  </si>
  <si>
    <t xml:space="preserve">Ambientales </t>
  </si>
  <si>
    <t>Desinfectante para pisos</t>
  </si>
  <si>
    <t>Cantidad</t>
  </si>
  <si>
    <t>Sueldo</t>
  </si>
  <si>
    <t>Decimo Tercero</t>
  </si>
  <si>
    <t>Decimo Cuarto</t>
  </si>
  <si>
    <t>Presupuesto Mensual</t>
  </si>
  <si>
    <t>Periodo</t>
  </si>
  <si>
    <t>Deuda</t>
  </si>
  <si>
    <t>Interes</t>
  </si>
  <si>
    <t>Amortizacion</t>
  </si>
  <si>
    <t>Cuota Fija</t>
  </si>
  <si>
    <t>Utilidad antes de Part. Trab.</t>
  </si>
  <si>
    <t>Impuestos</t>
  </si>
  <si>
    <t>Años</t>
  </si>
  <si>
    <t>Factor de actualizacion</t>
  </si>
  <si>
    <t>Flujo de efectivo actual</t>
  </si>
  <si>
    <t>Flujo de efectivo acumulado</t>
  </si>
  <si>
    <t>1 / ( 1 + i ) ^ n</t>
  </si>
  <si>
    <t>costo deuda</t>
  </si>
  <si>
    <t>imp</t>
  </si>
  <si>
    <t>socios</t>
  </si>
  <si>
    <t>VAN para comprobar</t>
  </si>
  <si>
    <t>Wacc</t>
  </si>
  <si>
    <t>Tasa de descuento</t>
  </si>
  <si>
    <t>TIR</t>
  </si>
  <si>
    <t>t1 + ((t2 - t1) (VAN1 / VAN1 - VAN2))</t>
  </si>
  <si>
    <t>B/C= INGRESOS ACTUALIZADOS / EGRESOS ACTUALIZADOS</t>
  </si>
  <si>
    <t>B/C</t>
  </si>
  <si>
    <t>Vehiculos</t>
  </si>
  <si>
    <t>Año 1</t>
  </si>
  <si>
    <t>Año 2</t>
  </si>
  <si>
    <t>Año 3</t>
  </si>
  <si>
    <t>Año 4</t>
  </si>
  <si>
    <t>Año 5</t>
  </si>
  <si>
    <t>Saldo inicial</t>
  </si>
  <si>
    <t>Total de ingresos</t>
  </si>
  <si>
    <t>Costos</t>
  </si>
  <si>
    <t>Gastos</t>
  </si>
  <si>
    <t>Obligaciones financieras</t>
  </si>
  <si>
    <t>Total de egresos</t>
  </si>
  <si>
    <t>Flujo neto</t>
  </si>
  <si>
    <t>Flujo por año</t>
  </si>
  <si>
    <t xml:space="preserve">Impuestos </t>
  </si>
  <si>
    <t>Amb  autos</t>
  </si>
  <si>
    <t>Combo</t>
  </si>
  <si>
    <t xml:space="preserve">Precio Normal* </t>
  </si>
  <si>
    <t>Precio de oferta</t>
  </si>
  <si>
    <t>Costo</t>
  </si>
  <si>
    <t>Utilidad por Combo</t>
  </si>
  <si>
    <t>Combo desengrasante de cocina</t>
  </si>
  <si>
    <t xml:space="preserve">Combo shampoo para autos </t>
  </si>
  <si>
    <t>Combo jabon liquido de manos</t>
  </si>
  <si>
    <t>Combo ambiental para autos</t>
  </si>
  <si>
    <t>Combo ambiental para hogar</t>
  </si>
  <si>
    <t xml:space="preserve">Combo desinfectante para pisos </t>
  </si>
  <si>
    <t xml:space="preserve">Estrategia </t>
  </si>
  <si>
    <t xml:space="preserve">Descripción </t>
  </si>
  <si>
    <t>Periodicidad</t>
  </si>
  <si>
    <t>Costo unitario</t>
  </si>
  <si>
    <t>Producto</t>
  </si>
  <si>
    <t xml:space="preserve">Descuento en combo de productos </t>
  </si>
  <si>
    <t xml:space="preserve">Permanente </t>
  </si>
  <si>
    <t>Precio</t>
  </si>
  <si>
    <t>Descuento en compras por redes sociales</t>
  </si>
  <si>
    <t>Plaza</t>
  </si>
  <si>
    <t xml:space="preserve">Promoción </t>
  </si>
  <si>
    <t>2 veces al mes</t>
  </si>
  <si>
    <t>Agente vendedor</t>
  </si>
  <si>
    <t xml:space="preserve">Desucentos en redes sociales combos de productos </t>
  </si>
  <si>
    <t>Total anual</t>
  </si>
  <si>
    <t xml:space="preserve">Fijo </t>
  </si>
  <si>
    <t>Variable</t>
  </si>
  <si>
    <t>Gastos Administrativos</t>
  </si>
  <si>
    <t>Sueldos</t>
  </si>
  <si>
    <t>Gastos Financieros</t>
  </si>
  <si>
    <t>Costo Total</t>
  </si>
  <si>
    <t>Gastos de venta</t>
  </si>
  <si>
    <t>Periodos</t>
  </si>
  <si>
    <t>Inversión</t>
  </si>
  <si>
    <t>Flujos</t>
  </si>
  <si>
    <t>Flujos Acumulados</t>
  </si>
  <si>
    <t>flujos</t>
  </si>
  <si>
    <t>meses</t>
  </si>
  <si>
    <t>dias</t>
  </si>
  <si>
    <t>Gastos preoperacionales</t>
  </si>
  <si>
    <t xml:space="preserve">Publicidad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</si>
  <si>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</si>
  <si>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</si>
  <si>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</si>
  <si>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</si>
  <si>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</si>
  <si>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</si>
  <si>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</si>
  <si>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</si>
  <si>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</si>
  <si>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</si>
  <si>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</si>
  <si>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Ambiental autos</t>
  </si>
  <si>
    <t xml:space="preserve">Arriendo </t>
  </si>
  <si>
    <t>Servicios básicos agua</t>
  </si>
  <si>
    <t>Servicios básicos luz</t>
  </si>
  <si>
    <t>Amortización intangibles</t>
  </si>
  <si>
    <t>Interés</t>
  </si>
  <si>
    <t>Sueldo Gerente 2022</t>
  </si>
  <si>
    <t>Sueldo Gerente 2023</t>
  </si>
  <si>
    <t>Sueldo Gerente 2021</t>
  </si>
  <si>
    <t>Mes</t>
  </si>
  <si>
    <t>Aporte Patronal (11.15%)</t>
  </si>
  <si>
    <t>Aporte Personal (9.45%)</t>
  </si>
  <si>
    <t xml:space="preserve">Fondos de Reserva </t>
  </si>
  <si>
    <t>Fondo de Reserva</t>
  </si>
  <si>
    <t>Enero</t>
  </si>
  <si>
    <t xml:space="preserve">Total Anual </t>
  </si>
  <si>
    <t>Sueldo Operario/Vendedor  2021</t>
  </si>
  <si>
    <t>Sueldo Operario/Vendedor  2022</t>
  </si>
  <si>
    <t>Tital Anual</t>
  </si>
  <si>
    <t>Fondo de reserva</t>
  </si>
  <si>
    <t>INVERSIÓN=</t>
  </si>
  <si>
    <t>Jabon liquido 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</si>
</sst>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&quot;$&quot;#,##0.00;&quot;$&quot;\-#,##0.00"/>
    <numFmt numFmtId="8" formatCode="&quot;$&quot;#,##0.00;[Red]&quot;$&quot;\-#,##0.00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&quot;$&quot;#,##0.00"/>
    <numFmt numFmtId="165" formatCode="&quot;$&quot;\ #,##0.00"/>
    <numFmt numFmtId="166" formatCode="&quot;$&quot;\ #,##0.00_);[Red]\(&quot;$&quot;\ #,##0.00\)"/>
    <numFmt numFmtId="167" formatCode="&quot;$&quot;\ #,##0.00;[Red]&quot;$&quot;\ \-#,##0.00"/>
    <numFmt numFmtId="168" formatCode="#,##0.0000"/>
    <numFmt numFmtId="169" formatCode="0.000%"/>
    <numFmt numFmtId="170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2">
    <xf numFmtId="0" fontId="0" fillId="0" borderId="0" xfId="0"/>
    <xf numFmtId="7" fontId="0" fillId="0" borderId="1" xfId="1" applyNumberFormat="1" applyFont="1" applyBorder="1"/>
    <xf numFmtId="0" fontId="3" fillId="0" borderId="1" xfId="0" applyFont="1" applyBorder="1"/>
    <xf numFmtId="164" fontId="4" fillId="0" borderId="1" xfId="0" applyNumberFormat="1" applyFont="1" applyBorder="1"/>
    <xf numFmtId="164" fontId="3" fillId="0" borderId="1" xfId="0" applyNumberFormat="1" applyFont="1" applyBorder="1"/>
    <xf numFmtId="0" fontId="4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left"/>
      <protection hidden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 applyProtection="1">
      <alignment horizontal="left"/>
      <protection hidden="1"/>
    </xf>
    <xf numFmtId="165" fontId="4" fillId="0" borderId="1" xfId="0" applyNumberFormat="1" applyFont="1" applyBorder="1" applyAlignment="1">
      <alignment horizontal="center"/>
    </xf>
    <xf numFmtId="9" fontId="4" fillId="0" borderId="1" xfId="3" applyFont="1" applyBorder="1" applyAlignment="1">
      <alignment horizontal="center"/>
    </xf>
    <xf numFmtId="164" fontId="0" fillId="0" borderId="0" xfId="0" applyNumberFormat="1"/>
    <xf numFmtId="165" fontId="0" fillId="0" borderId="1" xfId="0" applyNumberFormat="1" applyBorder="1" applyProtection="1">
      <protection hidden="1"/>
    </xf>
    <xf numFmtId="0" fontId="0" fillId="0" borderId="1" xfId="0" applyBorder="1" applyProtection="1">
      <protection hidden="1"/>
    </xf>
    <xf numFmtId="0" fontId="0" fillId="0" borderId="1" xfId="2" applyNumberFormat="1" applyFont="1" applyBorder="1" applyAlignment="1" applyProtection="1">
      <alignment horizontal="center"/>
      <protection hidden="1"/>
    </xf>
    <xf numFmtId="0" fontId="6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9" fontId="0" fillId="0" borderId="0" xfId="3" applyFont="1"/>
    <xf numFmtId="3" fontId="0" fillId="0" borderId="0" xfId="0" applyNumberFormat="1"/>
    <xf numFmtId="10" fontId="0" fillId="0" borderId="0" xfId="0" applyNumberFormat="1"/>
    <xf numFmtId="0" fontId="8" fillId="3" borderId="7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65" fontId="0" fillId="4" borderId="4" xfId="0" applyNumberFormat="1" applyFill="1" applyBorder="1" applyAlignment="1">
      <alignment horizontal="center"/>
    </xf>
    <xf numFmtId="165" fontId="0" fillId="4" borderId="1" xfId="0" applyNumberFormat="1" applyFill="1" applyBorder="1" applyAlignment="1" applyProtection="1">
      <alignment horizontal="center"/>
      <protection hidden="1"/>
    </xf>
    <xf numFmtId="0" fontId="0" fillId="4" borderId="11" xfId="0" applyFill="1" applyBorder="1" applyAlignment="1">
      <alignment horizontal="center"/>
    </xf>
    <xf numFmtId="165" fontId="0" fillId="3" borderId="12" xfId="0" applyNumberFormat="1" applyFill="1" applyBorder="1" applyAlignment="1">
      <alignment horizontal="center"/>
    </xf>
    <xf numFmtId="165" fontId="0" fillId="0" borderId="0" xfId="0" applyNumberFormat="1"/>
    <xf numFmtId="0" fontId="0" fillId="5" borderId="1" xfId="0" applyFill="1" applyBorder="1"/>
    <xf numFmtId="166" fontId="0" fillId="0" borderId="16" xfId="0" applyNumberFormat="1" applyBorder="1" applyAlignment="1">
      <alignment horizontal="center"/>
    </xf>
    <xf numFmtId="167" fontId="0" fillId="5" borderId="1" xfId="0" applyNumberFormat="1" applyFill="1" applyBorder="1"/>
    <xf numFmtId="166" fontId="0" fillId="5" borderId="1" xfId="0" applyNumberFormat="1" applyFill="1" applyBorder="1"/>
    <xf numFmtId="10" fontId="0" fillId="0" borderId="0" xfId="3" applyNumberFormat="1" applyFont="1" applyBorder="1"/>
    <xf numFmtId="0" fontId="8" fillId="0" borderId="17" xfId="0" applyFont="1" applyBorder="1" applyAlignment="1">
      <alignment horizontal="center"/>
    </xf>
    <xf numFmtId="10" fontId="0" fillId="0" borderId="0" xfId="3" applyNumberFormat="1" applyFont="1"/>
    <xf numFmtId="10" fontId="0" fillId="0" borderId="2" xfId="0" applyNumberFormat="1" applyBorder="1" applyAlignment="1">
      <alignment horizontal="center"/>
    </xf>
    <xf numFmtId="10" fontId="0" fillId="5" borderId="1" xfId="3" applyNumberFormat="1" applyFont="1" applyFill="1" applyBorder="1"/>
    <xf numFmtId="0" fontId="0" fillId="0" borderId="0" xfId="0" applyAlignment="1" applyProtection="1">
      <alignment horizontal="center"/>
      <protection hidden="1"/>
    </xf>
    <xf numFmtId="0" fontId="0" fillId="2" borderId="0" xfId="0" applyFill="1"/>
    <xf numFmtId="10" fontId="0" fillId="0" borderId="0" xfId="0" applyNumberFormat="1" applyAlignment="1" applyProtection="1">
      <alignment horizontal="center"/>
      <protection hidden="1"/>
    </xf>
    <xf numFmtId="10" fontId="0" fillId="0" borderId="0" xfId="3" applyNumberFormat="1" applyFont="1" applyBorder="1" applyAlignment="1" applyProtection="1">
      <alignment horizontal="center"/>
      <protection hidden="1"/>
    </xf>
    <xf numFmtId="168" fontId="0" fillId="0" borderId="0" xfId="0" applyNumberFormat="1" applyAlignment="1" applyProtection="1">
      <alignment horizontal="center"/>
      <protection hidden="1"/>
    </xf>
    <xf numFmtId="4" fontId="0" fillId="2" borderId="18" xfId="0" applyNumberFormat="1" applyFill="1" applyBorder="1" applyAlignment="1">
      <alignment horizontal="center"/>
    </xf>
    <xf numFmtId="0" fontId="0" fillId="2" borderId="0" xfId="0" applyFill="1" applyAlignment="1">
      <alignment horizontal="right"/>
    </xf>
    <xf numFmtId="4" fontId="0" fillId="2" borderId="0" xfId="0" applyNumberFormat="1" applyFill="1"/>
    <xf numFmtId="4" fontId="0" fillId="0" borderId="0" xfId="0" applyNumberFormat="1" applyAlignment="1">
      <alignment horizontal="center"/>
    </xf>
    <xf numFmtId="10" fontId="9" fillId="0" borderId="0" xfId="3" applyNumberFormat="1" applyFont="1" applyBorder="1" applyAlignment="1" applyProtection="1">
      <alignment horizontal="center"/>
      <protection hidden="1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1" fillId="0" borderId="1" xfId="0" applyFont="1" applyFill="1" applyBorder="1"/>
    <xf numFmtId="164" fontId="11" fillId="0" borderId="1" xfId="0" applyNumberFormat="1" applyFont="1" applyBorder="1"/>
    <xf numFmtId="165" fontId="11" fillId="0" borderId="1" xfId="0" applyNumberFormat="1" applyFont="1" applyFill="1" applyBorder="1"/>
    <xf numFmtId="164" fontId="11" fillId="0" borderId="1" xfId="0" applyNumberFormat="1" applyFont="1" applyFill="1" applyBorder="1"/>
    <xf numFmtId="0" fontId="10" fillId="0" borderId="1" xfId="0" applyFont="1" applyBorder="1" applyProtection="1">
      <protection hidden="1"/>
    </xf>
    <xf numFmtId="164" fontId="10" fillId="0" borderId="1" xfId="0" applyNumberFormat="1" applyFont="1" applyFill="1" applyBorder="1"/>
    <xf numFmtId="165" fontId="10" fillId="0" borderId="1" xfId="0" applyNumberFormat="1" applyFont="1" applyBorder="1"/>
    <xf numFmtId="8" fontId="7" fillId="0" borderId="21" xfId="0" applyNumberFormat="1" applyFont="1" applyBorder="1" applyAlignment="1">
      <alignment horizontal="right" vertical="center"/>
    </xf>
    <xf numFmtId="0" fontId="6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justify" vertical="center"/>
    </xf>
    <xf numFmtId="8" fontId="7" fillId="6" borderId="1" xfId="0" applyNumberFormat="1" applyFont="1" applyFill="1" applyBorder="1" applyAlignment="1">
      <alignment horizontal="right" vertical="center"/>
    </xf>
    <xf numFmtId="8" fontId="7" fillId="0" borderId="1" xfId="0" applyNumberFormat="1" applyFont="1" applyBorder="1" applyAlignment="1">
      <alignment horizontal="right" vertical="center"/>
    </xf>
    <xf numFmtId="7" fontId="0" fillId="0" borderId="1" xfId="0" applyNumberFormat="1" applyBorder="1"/>
    <xf numFmtId="0" fontId="7" fillId="5" borderId="1" xfId="0" applyFont="1" applyFill="1" applyBorder="1" applyAlignment="1">
      <alignment horizontal="justify" vertical="center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8" fontId="6" fillId="0" borderId="2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166" fontId="12" fillId="2" borderId="1" xfId="0" applyNumberFormat="1" applyFont="1" applyFill="1" applyBorder="1" applyAlignment="1">
      <alignment horizontal="right" vertical="center"/>
    </xf>
    <xf numFmtId="0" fontId="13" fillId="0" borderId="1" xfId="0" applyFont="1" applyBorder="1"/>
    <xf numFmtId="166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4" fillId="0" borderId="14" xfId="0" applyFont="1" applyBorder="1"/>
    <xf numFmtId="0" fontId="7" fillId="0" borderId="1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9" fontId="0" fillId="0" borderId="1" xfId="3" applyFont="1" applyBorder="1"/>
    <xf numFmtId="0" fontId="0" fillId="0" borderId="1" xfId="0" applyBorder="1"/>
    <xf numFmtId="9" fontId="0" fillId="0" borderId="1" xfId="0" applyNumberFormat="1" applyBorder="1"/>
    <xf numFmtId="0" fontId="14" fillId="2" borderId="1" xfId="0" applyFont="1" applyFill="1" applyBorder="1"/>
    <xf numFmtId="0" fontId="11" fillId="0" borderId="0" xfId="0" applyFont="1"/>
    <xf numFmtId="0" fontId="14" fillId="2" borderId="1" xfId="0" applyFont="1" applyFill="1" applyBorder="1" applyAlignment="1">
      <alignment horizontal="center"/>
    </xf>
    <xf numFmtId="167" fontId="14" fillId="2" borderId="1" xfId="0" applyNumberFormat="1" applyFont="1" applyFill="1" applyBorder="1"/>
    <xf numFmtId="8" fontId="11" fillId="0" borderId="0" xfId="0" applyNumberFormat="1" applyFont="1"/>
    <xf numFmtId="43" fontId="0" fillId="0" borderId="0" xfId="2" applyFont="1"/>
    <xf numFmtId="0" fontId="4" fillId="2" borderId="1" xfId="0" applyFont="1" applyFill="1" applyBorder="1"/>
    <xf numFmtId="0" fontId="3" fillId="2" borderId="1" xfId="0" applyFont="1" applyFill="1" applyBorder="1" applyAlignment="1">
      <alignment horizontal="center"/>
    </xf>
    <xf numFmtId="165" fontId="4" fillId="2" borderId="1" xfId="0" applyNumberFormat="1" applyFont="1" applyFill="1" applyBorder="1" applyProtection="1">
      <protection hidden="1"/>
    </xf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9" fontId="0" fillId="0" borderId="0" xfId="0" applyNumberFormat="1"/>
    <xf numFmtId="169" fontId="0" fillId="0" borderId="2" xfId="0" applyNumberFormat="1" applyBorder="1" applyAlignment="1">
      <alignment horizontal="center"/>
    </xf>
    <xf numFmtId="10" fontId="0" fillId="0" borderId="0" xfId="3" applyNumberFormat="1" applyFont="1" applyAlignment="1">
      <alignment horizontal="center"/>
    </xf>
    <xf numFmtId="0" fontId="14" fillId="5" borderId="1" xfId="0" applyFont="1" applyFill="1" applyBorder="1"/>
    <xf numFmtId="0" fontId="14" fillId="5" borderId="1" xfId="0" applyFont="1" applyFill="1" applyBorder="1" applyAlignment="1">
      <alignment horizontal="center"/>
    </xf>
    <xf numFmtId="167" fontId="14" fillId="5" borderId="1" xfId="0" applyNumberFormat="1" applyFont="1" applyFill="1" applyBorder="1"/>
    <xf numFmtId="8" fontId="11" fillId="5" borderId="1" xfId="0" applyNumberFormat="1" applyFont="1" applyFill="1" applyBorder="1"/>
    <xf numFmtId="10" fontId="4" fillId="0" borderId="1" xfId="3" applyNumberFormat="1" applyFont="1" applyBorder="1" applyAlignment="1">
      <alignment horizontal="center"/>
    </xf>
    <xf numFmtId="170" fontId="0" fillId="0" borderId="0" xfId="0" applyNumberFormat="1"/>
    <xf numFmtId="164" fontId="0" fillId="0" borderId="10" xfId="0" applyNumberFormat="1" applyBorder="1"/>
    <xf numFmtId="164" fontId="0" fillId="0" borderId="1" xfId="0" applyNumberFormat="1" applyBorder="1"/>
    <xf numFmtId="164" fontId="0" fillId="0" borderId="13" xfId="0" applyNumberFormat="1" applyBorder="1"/>
    <xf numFmtId="164" fontId="0" fillId="0" borderId="23" xfId="0" applyNumberFormat="1" applyBorder="1"/>
    <xf numFmtId="164" fontId="0" fillId="0" borderId="14" xfId="0" applyNumberFormat="1" applyBorder="1"/>
    <xf numFmtId="164" fontId="0" fillId="0" borderId="14" xfId="0" applyNumberFormat="1" applyBorder="1" applyAlignment="1">
      <alignment horizontal="center"/>
    </xf>
    <xf numFmtId="44" fontId="0" fillId="0" borderId="0" xfId="1" applyFont="1"/>
    <xf numFmtId="0" fontId="6" fillId="0" borderId="1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Alignment="1">
      <alignment horizontal="center" vertical="center"/>
    </xf>
    <xf numFmtId="0" fontId="8" fillId="3" borderId="7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8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/>
      <protection hidden="1"/>
    </xf>
    <xf numFmtId="0" fontId="8" fillId="3" borderId="10" xfId="0" applyFont="1" applyFill="1" applyBorder="1" applyAlignment="1" applyProtection="1">
      <alignment horizontal="center" vertical="center"/>
      <protection hidden="1"/>
    </xf>
    <xf numFmtId="0" fontId="8" fillId="3" borderId="5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5" fillId="0" borderId="1" xfId="2" applyNumberFormat="1" applyFont="1" applyBorder="1" applyAlignment="1" applyProtection="1">
      <alignment horizontal="center"/>
      <protection hidden="1"/>
    </xf>
    <xf numFmtId="165" fontId="15" fillId="0" borderId="1" xfId="0" applyNumberFormat="1" applyFont="1" applyFill="1" applyBorder="1" applyProtection="1">
      <protection hidden="1"/>
    </xf>
    <xf numFmtId="165" fontId="15" fillId="0" borderId="1" xfId="0" applyNumberFormat="1" applyFont="1" applyBorder="1" applyProtection="1">
      <protection hidden="1"/>
    </xf>
    <xf numFmtId="0" fontId="15" fillId="0" borderId="0" xfId="0" applyFont="1" applyFill="1"/>
    <xf numFmtId="0" fontId="15" fillId="0" borderId="0" xfId="0" applyFont="1"/>
    <xf numFmtId="0" fontId="16" fillId="0" borderId="1" xfId="0" applyFont="1" applyBorder="1" applyAlignment="1">
      <alignment horizontal="center"/>
    </xf>
    <xf numFmtId="164" fontId="17" fillId="0" borderId="1" xfId="0" applyNumberFormat="1" applyFont="1" applyBorder="1"/>
    <xf numFmtId="165" fontId="17" fillId="0" borderId="1" xfId="0" applyNumberFormat="1" applyFont="1" applyBorder="1"/>
    <xf numFmtId="0" fontId="17" fillId="0" borderId="1" xfId="0" applyFont="1" applyBorder="1"/>
    <xf numFmtId="165" fontId="17" fillId="0" borderId="1" xfId="0" applyNumberFormat="1" applyFont="1" applyFill="1" applyBorder="1"/>
    <xf numFmtId="164" fontId="17" fillId="0" borderId="1" xfId="0" applyNumberFormat="1" applyFont="1" applyFill="1" applyBorder="1"/>
    <xf numFmtId="164" fontId="16" fillId="0" borderId="1" xfId="0" applyNumberFormat="1" applyFont="1" applyBorder="1"/>
    <xf numFmtId="0" fontId="16" fillId="0" borderId="1" xfId="0" applyFont="1" applyBorder="1"/>
    <xf numFmtId="165" fontId="16" fillId="0" borderId="1" xfId="0" applyNumberFormat="1" applyFont="1" applyBorder="1"/>
  </cellXfs>
  <cellStyles count="4">
    <cellStyle name="Millares" xfId="2" builtinId="3"/>
    <cellStyle name="Moneda" xfId="1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2BBE9-DD97-4744-BC81-456FE24A5710}">
  <dimension ref="A3:C9"/>
  <sheetViews>
    <sheetView zoomScale="110" zoomScaleNormal="110" workbookViewId="0">
      <selection activeCell="C4" sqref="C4"/>
    </sheetView>
  </sheetViews>
  <sheetFormatPr baseColWidth="10" defaultRowHeight="14.25" x14ac:dyDescent="0.45"/>
  <cols>
    <col min="1" max="1" width="26.73046875" customWidth="1"/>
    <col min="2" max="2" width="37.19921875" customWidth="1"/>
  </cols>
  <sheetData>
    <row r="3" spans="1:3" ht="15" x14ac:dyDescent="0.45">
      <c r="A3" s="85" t="s">
        <v>61</v>
      </c>
      <c r="B3" s="18" t="s">
        <v>62</v>
      </c>
    </row>
    <row r="4" spans="1:3" ht="15.4" x14ac:dyDescent="0.45">
      <c r="A4" s="86" t="s">
        <v>63</v>
      </c>
      <c r="B4" s="19">
        <v>835309.26691729331</v>
      </c>
      <c r="C4" s="20">
        <v>0.38863476425052784</v>
      </c>
    </row>
    <row r="5" spans="1:3" ht="15.4" x14ac:dyDescent="0.45">
      <c r="A5" s="86" t="s">
        <v>108</v>
      </c>
      <c r="B5" s="19">
        <v>114576.14661654134</v>
      </c>
      <c r="C5" s="20">
        <v>5.3307529908515124E-2</v>
      </c>
    </row>
    <row r="6" spans="1:3" ht="15.4" x14ac:dyDescent="0.45">
      <c r="A6" s="86" t="s">
        <v>64</v>
      </c>
      <c r="B6" s="19">
        <v>237849.49248120302</v>
      </c>
      <c r="C6" s="20">
        <v>0.11066150598170303</v>
      </c>
    </row>
    <row r="7" spans="1:3" ht="15.4" x14ac:dyDescent="0.45">
      <c r="A7" s="86" t="s">
        <v>183</v>
      </c>
      <c r="B7" s="19">
        <v>487043.15789473685</v>
      </c>
      <c r="C7" s="20">
        <v>0.22660098522167488</v>
      </c>
    </row>
    <row r="8" spans="1:3" ht="15.4" x14ac:dyDescent="0.45">
      <c r="A8" s="86" t="s">
        <v>65</v>
      </c>
      <c r="B8" s="19">
        <v>474564.56766917295</v>
      </c>
      <c r="C8" s="20">
        <v>0.22079521463757917</v>
      </c>
    </row>
    <row r="9" spans="1:3" ht="15.4" x14ac:dyDescent="0.45">
      <c r="A9" s="87"/>
      <c r="B9" s="19">
        <v>2149342.6315789502</v>
      </c>
      <c r="C9" s="21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C6802-1561-4FA0-9B4E-00CD3DE6A74E}">
  <dimension ref="B1:S27"/>
  <sheetViews>
    <sheetView topLeftCell="K1" zoomScale="115" zoomScaleNormal="115" workbookViewId="0">
      <selection activeCell="Q8" sqref="Q8"/>
    </sheetView>
  </sheetViews>
  <sheetFormatPr baseColWidth="10" defaultRowHeight="14.25" x14ac:dyDescent="0.45"/>
  <cols>
    <col min="3" max="3" width="18.73046875" customWidth="1"/>
    <col min="4" max="4" width="23.73046875" bestFit="1" customWidth="1"/>
    <col min="5" max="5" width="24" bestFit="1" customWidth="1"/>
    <col min="6" max="6" width="29" bestFit="1" customWidth="1"/>
    <col min="9" max="9" width="21.265625" bestFit="1" customWidth="1"/>
    <col min="11" max="11" width="24" bestFit="1" customWidth="1"/>
    <col min="12" max="12" width="29" bestFit="1" customWidth="1"/>
  </cols>
  <sheetData>
    <row r="1" spans="2:19" x14ac:dyDescent="0.45">
      <c r="D1" s="22"/>
    </row>
    <row r="3" spans="2:19" ht="14.65" thickBot="1" x14ac:dyDescent="0.5"/>
    <row r="4" spans="2:19" ht="15.75" x14ac:dyDescent="0.5">
      <c r="B4" s="146" t="s">
        <v>78</v>
      </c>
      <c r="C4" s="144" t="s">
        <v>59</v>
      </c>
      <c r="D4" s="23" t="s">
        <v>79</v>
      </c>
      <c r="E4" s="136" t="s">
        <v>80</v>
      </c>
      <c r="F4" s="138" t="s">
        <v>81</v>
      </c>
      <c r="H4" s="146" t="s">
        <v>78</v>
      </c>
      <c r="I4" s="144" t="s">
        <v>59</v>
      </c>
      <c r="J4" s="23" t="s">
        <v>79</v>
      </c>
      <c r="K4" s="136" t="s">
        <v>80</v>
      </c>
      <c r="L4" s="138" t="s">
        <v>81</v>
      </c>
    </row>
    <row r="5" spans="2:19" ht="15.75" x14ac:dyDescent="0.5">
      <c r="B5" s="147"/>
      <c r="C5" s="145"/>
      <c r="D5" s="24" t="s">
        <v>82</v>
      </c>
      <c r="E5" s="137"/>
      <c r="F5" s="139"/>
      <c r="H5" s="147"/>
      <c r="I5" s="145"/>
      <c r="J5" s="24" t="s">
        <v>82</v>
      </c>
      <c r="K5" s="137"/>
      <c r="L5" s="139"/>
    </row>
    <row r="6" spans="2:19" x14ac:dyDescent="0.45">
      <c r="B6" s="25">
        <v>0</v>
      </c>
      <c r="C6" s="15">
        <f>BGENE!C18*-1</f>
        <v>-13045.616236192416</v>
      </c>
      <c r="D6" s="26">
        <f>1/(POWER((1+$D$17),B6))</f>
        <v>1</v>
      </c>
      <c r="E6" s="27">
        <f>C6*D6</f>
        <v>-13045.616236192416</v>
      </c>
      <c r="F6" s="28">
        <f>E6</f>
        <v>-13045.616236192416</v>
      </c>
      <c r="H6" s="25">
        <v>0</v>
      </c>
      <c r="I6" s="29">
        <f t="shared" ref="I6:I11" si="0">C6</f>
        <v>-13045.616236192416</v>
      </c>
      <c r="J6" s="26">
        <f>1/(POWER((1+$J$17),H6))</f>
        <v>1</v>
      </c>
      <c r="K6" s="27">
        <f>I6*J6</f>
        <v>-13045.616236192416</v>
      </c>
      <c r="L6" s="28">
        <f>K6</f>
        <v>-13045.616236192416</v>
      </c>
    </row>
    <row r="7" spans="2:19" x14ac:dyDescent="0.45">
      <c r="B7" s="25">
        <v>1</v>
      </c>
      <c r="C7" s="15">
        <f>ER!D18</f>
        <v>3425.6162361924157</v>
      </c>
      <c r="D7" s="26">
        <f t="shared" ref="D7:D11" si="1">1/(POWER((1+$D$17),B7))</f>
        <v>0.8417317899315564</v>
      </c>
      <c r="E7" s="27">
        <f t="shared" ref="E7:E11" si="2">C7*D7</f>
        <v>2883.4500861088432</v>
      </c>
      <c r="F7" s="28">
        <f>F6+E7</f>
        <v>-10162.166150083573</v>
      </c>
      <c r="H7" s="25">
        <v>1</v>
      </c>
      <c r="I7" s="29">
        <f t="shared" si="0"/>
        <v>3425.6162361924157</v>
      </c>
      <c r="J7" s="26">
        <f>1/(POWER((1+$J$17),H7))</f>
        <v>0.89336322200983098</v>
      </c>
      <c r="K7" s="27">
        <f t="shared" ref="K7:K11" si="3">I7*J7</f>
        <v>3060.3195581340465</v>
      </c>
      <c r="L7" s="28">
        <f>L6+K7</f>
        <v>-9985.2966780583702</v>
      </c>
    </row>
    <row r="8" spans="2:19" x14ac:dyDescent="0.45">
      <c r="B8" s="25">
        <v>2</v>
      </c>
      <c r="C8" s="15">
        <f>ER!E18</f>
        <v>3542.2765450479601</v>
      </c>
      <c r="D8" s="26">
        <f t="shared" si="1"/>
        <v>0.70851240618138178</v>
      </c>
      <c r="E8" s="27">
        <f t="shared" si="2"/>
        <v>2509.7468782918022</v>
      </c>
      <c r="F8" s="28">
        <f t="shared" ref="F8:F11" si="4">F7+E8</f>
        <v>-7652.4192717917704</v>
      </c>
      <c r="H8" s="25">
        <v>2</v>
      </c>
      <c r="I8" s="29">
        <f t="shared" si="0"/>
        <v>3542.2765450479601</v>
      </c>
      <c r="J8" s="26">
        <f>1/(POWER((1+$J$17),H8))</f>
        <v>0.79809784643978654</v>
      </c>
      <c r="K8" s="27">
        <f t="shared" si="3"/>
        <v>2827.0832820969445</v>
      </c>
      <c r="L8" s="28">
        <f t="shared" ref="L8:L11" si="5">L7+K8</f>
        <v>-7158.2133959614257</v>
      </c>
    </row>
    <row r="9" spans="2:19" x14ac:dyDescent="0.45">
      <c r="B9" s="25">
        <v>3</v>
      </c>
      <c r="C9" s="15">
        <f>ER!F18</f>
        <v>3663.2423841411869</v>
      </c>
      <c r="D9" s="26">
        <f t="shared" si="1"/>
        <v>0.59637741584376835</v>
      </c>
      <c r="E9" s="27">
        <f t="shared" si="2"/>
        <v>2184.6750266634858</v>
      </c>
      <c r="F9" s="28">
        <f t="shared" si="4"/>
        <v>-5467.7442451282841</v>
      </c>
      <c r="H9" s="25">
        <v>3</v>
      </c>
      <c r="I9" s="29">
        <f t="shared" si="0"/>
        <v>3663.2423841411869</v>
      </c>
      <c r="J9" s="26">
        <f t="shared" ref="J9:J11" si="6">1/(POWER((1+$J$17),H9))</f>
        <v>0.712991263574555</v>
      </c>
      <c r="K9" s="27">
        <f t="shared" si="3"/>
        <v>2611.8598162486901</v>
      </c>
      <c r="L9" s="28">
        <f t="shared" si="5"/>
        <v>-4546.3535797127352</v>
      </c>
    </row>
    <row r="10" spans="2:19" x14ac:dyDescent="0.45">
      <c r="B10" s="25">
        <v>4</v>
      </c>
      <c r="C10" s="15">
        <f>ER!G18</f>
        <v>3708.465888888376</v>
      </c>
      <c r="D10" s="26">
        <f t="shared" si="1"/>
        <v>0.50198982971293127</v>
      </c>
      <c r="E10" s="27">
        <f t="shared" si="2"/>
        <v>1861.6121600592901</v>
      </c>
      <c r="F10" s="28">
        <f t="shared" si="4"/>
        <v>-3606.132085068994</v>
      </c>
      <c r="H10" s="25">
        <v>4</v>
      </c>
      <c r="I10" s="29">
        <f t="shared" si="0"/>
        <v>3708.465888888376</v>
      </c>
      <c r="J10" s="26">
        <f t="shared" si="6"/>
        <v>0.63696017249182513</v>
      </c>
      <c r="K10" s="27">
        <f t="shared" si="3"/>
        <v>2362.1450722663894</v>
      </c>
      <c r="L10" s="28">
        <f t="shared" si="5"/>
        <v>-2184.2085074463457</v>
      </c>
    </row>
    <row r="11" spans="2:19" ht="14.65" thickBot="1" x14ac:dyDescent="0.5">
      <c r="B11" s="30">
        <v>5</v>
      </c>
      <c r="C11" s="15">
        <f>ER!H18</f>
        <v>3837.8514699500092</v>
      </c>
      <c r="D11" s="26">
        <f t="shared" si="1"/>
        <v>0.42254079789170285</v>
      </c>
      <c r="E11" s="27">
        <f t="shared" si="2"/>
        <v>1621.6488223025215</v>
      </c>
      <c r="F11" s="28">
        <f t="shared" si="4"/>
        <v>-1984.4832627664725</v>
      </c>
      <c r="H11" s="30">
        <v>5</v>
      </c>
      <c r="I11" s="29">
        <f t="shared" si="0"/>
        <v>3837.8514699500092</v>
      </c>
      <c r="J11" s="26">
        <f t="shared" si="6"/>
        <v>0.56903679198923451</v>
      </c>
      <c r="K11" s="27">
        <f t="shared" si="3"/>
        <v>2183.8786885915215</v>
      </c>
      <c r="L11" s="31">
        <f t="shared" si="5"/>
        <v>-0.32981885482422513</v>
      </c>
    </row>
    <row r="12" spans="2:19" x14ac:dyDescent="0.45">
      <c r="E12" s="32">
        <f>SUM(E7:E11)</f>
        <v>11061.132973425943</v>
      </c>
      <c r="N12" s="33"/>
      <c r="O12" s="140" t="s">
        <v>83</v>
      </c>
      <c r="P12" s="141"/>
      <c r="Q12" s="33" t="s">
        <v>84</v>
      </c>
      <c r="R12" s="140" t="s">
        <v>85</v>
      </c>
      <c r="S12" s="141"/>
    </row>
    <row r="13" spans="2:19" ht="14.65" thickBot="1" x14ac:dyDescent="0.5">
      <c r="N13" s="33"/>
      <c r="O13" s="33"/>
      <c r="P13" s="33"/>
      <c r="Q13" s="33"/>
      <c r="R13" s="33"/>
      <c r="S13" s="33"/>
    </row>
    <row r="14" spans="2:19" ht="14.65" thickBot="1" x14ac:dyDescent="0.5">
      <c r="C14" s="142" t="s">
        <v>86</v>
      </c>
      <c r="D14" s="34">
        <f>NPV(D17,C7:C11)+C6</f>
        <v>-1984.4832627664728</v>
      </c>
      <c r="I14" s="142" t="s">
        <v>86</v>
      </c>
      <c r="J14" s="34">
        <f>NPV(J17,I7:I11)+I6</f>
        <v>-0.32981885482331563</v>
      </c>
      <c r="N14" s="33"/>
      <c r="O14" s="33"/>
      <c r="P14" s="35">
        <f>BGENE!E27</f>
        <v>3406.35</v>
      </c>
      <c r="Q14" s="33"/>
      <c r="R14" s="33"/>
      <c r="S14" s="36">
        <f>BGENE!E30</f>
        <v>7973.65</v>
      </c>
    </row>
    <row r="15" spans="2:19" ht="14.65" thickBot="1" x14ac:dyDescent="0.5">
      <c r="C15" s="143"/>
      <c r="G15" s="37"/>
      <c r="I15" s="143"/>
      <c r="N15" s="33" t="s">
        <v>87</v>
      </c>
      <c r="O15" s="33">
        <v>0.16</v>
      </c>
      <c r="P15" s="35">
        <f>P14+S14</f>
        <v>11380</v>
      </c>
      <c r="Q15" s="33">
        <f>1</f>
        <v>1</v>
      </c>
      <c r="R15" s="33">
        <v>0.2</v>
      </c>
      <c r="S15" s="35">
        <f>P15</f>
        <v>11380</v>
      </c>
    </row>
    <row r="16" spans="2:19" ht="15.75" x14ac:dyDescent="0.5">
      <c r="D16" s="38" t="s">
        <v>88</v>
      </c>
      <c r="G16" s="39"/>
      <c r="J16" s="38" t="s">
        <v>88</v>
      </c>
      <c r="N16" s="33"/>
      <c r="O16" s="33"/>
      <c r="P16" s="33"/>
      <c r="Q16" s="33"/>
      <c r="R16" s="33"/>
      <c r="S16" s="33"/>
    </row>
    <row r="17" spans="3:19" ht="14.65" thickBot="1" x14ac:dyDescent="0.5">
      <c r="D17" s="40">
        <f>P19</f>
        <v>0.18802688927943761</v>
      </c>
      <c r="J17" s="105">
        <f>J18+0.00001</f>
        <v>0.11936553393172426</v>
      </c>
      <c r="N17" s="33"/>
      <c r="O17" s="33"/>
      <c r="P17" s="33">
        <f>P14/P15*O15</f>
        <v>4.7892442882249558E-2</v>
      </c>
      <c r="Q17" s="33">
        <f>Q15</f>
        <v>1</v>
      </c>
      <c r="R17" s="33">
        <f>R15*S14/S15</f>
        <v>0.14013444639718806</v>
      </c>
      <c r="S17" s="33"/>
    </row>
    <row r="18" spans="3:19" x14ac:dyDescent="0.45">
      <c r="J18" s="106">
        <f>ER!C22</f>
        <v>0.11935553393172427</v>
      </c>
      <c r="N18" s="33"/>
      <c r="O18" s="33"/>
      <c r="P18" s="33"/>
      <c r="Q18" s="33"/>
      <c r="R18" s="33"/>
      <c r="S18" s="33"/>
    </row>
    <row r="19" spans="3:19" x14ac:dyDescent="0.45">
      <c r="N19" s="33"/>
      <c r="O19" s="33"/>
      <c r="P19" s="41">
        <f>P17*Q17+R17</f>
        <v>0.18802688927943761</v>
      </c>
      <c r="Q19" s="33"/>
      <c r="R19" s="33"/>
      <c r="S19" s="33"/>
    </row>
    <row r="21" spans="3:19" x14ac:dyDescent="0.45">
      <c r="I21" s="42" t="s">
        <v>89</v>
      </c>
      <c r="J21" s="42" t="s">
        <v>90</v>
      </c>
      <c r="K21" s="42"/>
      <c r="L21" s="42"/>
    </row>
    <row r="22" spans="3:19" x14ac:dyDescent="0.45">
      <c r="C22" s="43" t="s">
        <v>91</v>
      </c>
      <c r="D22" s="43"/>
      <c r="E22" s="43"/>
      <c r="F22" s="43"/>
      <c r="G22" s="43"/>
      <c r="I22" s="42"/>
      <c r="J22" s="42"/>
      <c r="K22" s="42"/>
      <c r="L22" s="42"/>
    </row>
    <row r="23" spans="3:19" x14ac:dyDescent="0.45">
      <c r="C23" s="43"/>
      <c r="D23" s="43"/>
      <c r="E23" s="43"/>
      <c r="F23" s="43"/>
      <c r="G23" s="43"/>
      <c r="I23" s="42" t="s">
        <v>89</v>
      </c>
      <c r="J23" s="44">
        <f>D17</f>
        <v>0.18802688927943761</v>
      </c>
      <c r="K23" s="45">
        <f>J17-D17</f>
        <v>-6.8661355347713351E-2</v>
      </c>
      <c r="L23" s="46">
        <f>F11/(F11-L11)</f>
        <v>1.0001662264860796</v>
      </c>
    </row>
    <row r="24" spans="3:19" x14ac:dyDescent="0.45">
      <c r="C24" s="135" t="s">
        <v>92</v>
      </c>
      <c r="D24" s="47">
        <f>SUM(E7:E11)</f>
        <v>11061.132973425943</v>
      </c>
      <c r="E24" s="48"/>
      <c r="F24" s="49"/>
      <c r="G24" s="43"/>
      <c r="I24" s="42" t="s">
        <v>89</v>
      </c>
      <c r="J24" s="44">
        <f>J23</f>
        <v>0.18802688927943761</v>
      </c>
      <c r="K24" s="45">
        <f>K23*L23</f>
        <v>-6.867276868354226E-2</v>
      </c>
      <c r="L24" s="42"/>
    </row>
    <row r="25" spans="3:19" ht="15.75" x14ac:dyDescent="0.5">
      <c r="C25" s="135"/>
      <c r="D25" s="50">
        <f>C6*-1</f>
        <v>13045.616236192416</v>
      </c>
      <c r="E25" s="43"/>
      <c r="F25" s="43"/>
      <c r="G25" s="43"/>
      <c r="I25" s="42" t="s">
        <v>89</v>
      </c>
      <c r="J25" s="51">
        <f>J24+K24</f>
        <v>0.11935412059589535</v>
      </c>
      <c r="K25" s="42"/>
      <c r="L25" s="42"/>
    </row>
    <row r="26" spans="3:19" ht="14.65" thickBot="1" x14ac:dyDescent="0.5">
      <c r="C26" s="43"/>
      <c r="D26" s="43"/>
      <c r="E26" s="43"/>
      <c r="F26" s="43"/>
      <c r="G26" s="43"/>
    </row>
    <row r="27" spans="3:19" ht="14.65" thickBot="1" x14ac:dyDescent="0.5">
      <c r="C27" s="52" t="s">
        <v>92</v>
      </c>
      <c r="D27" s="53">
        <f>D24/D25</f>
        <v>0.84788121719685983</v>
      </c>
      <c r="E27" s="43"/>
      <c r="F27" s="43"/>
      <c r="G27" s="43"/>
    </row>
  </sheetData>
  <mergeCells count="13">
    <mergeCell ref="B4:B5"/>
    <mergeCell ref="C4:C5"/>
    <mergeCell ref="E4:E5"/>
    <mergeCell ref="F4:F5"/>
    <mergeCell ref="H4:H5"/>
    <mergeCell ref="C24:C25"/>
    <mergeCell ref="K4:K5"/>
    <mergeCell ref="L4:L5"/>
    <mergeCell ref="O12:P12"/>
    <mergeCell ref="R12:S12"/>
    <mergeCell ref="C14:C15"/>
    <mergeCell ref="I14:I15"/>
    <mergeCell ref="I4:I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F51DD-6D6B-4881-8DCB-D75EC8D71A32}">
  <dimension ref="B5:E15"/>
  <sheetViews>
    <sheetView workbookViewId="0">
      <selection activeCell="G22" sqref="G22"/>
    </sheetView>
  </sheetViews>
  <sheetFormatPr baseColWidth="10" defaultRowHeight="14.25" x14ac:dyDescent="0.45"/>
  <cols>
    <col min="2" max="2" width="12.73046875" bestFit="1" customWidth="1"/>
    <col min="3" max="3" width="14.73046875" bestFit="1" customWidth="1"/>
    <col min="4" max="4" width="12.73046875" bestFit="1" customWidth="1"/>
    <col min="5" max="5" width="20.1328125" bestFit="1" customWidth="1"/>
    <col min="9" max="9" width="11.3984375" customWidth="1"/>
  </cols>
  <sheetData>
    <row r="5" spans="2:5" ht="15" x14ac:dyDescent="0.45">
      <c r="B5" s="76" t="s">
        <v>142</v>
      </c>
      <c r="C5" s="76" t="s">
        <v>143</v>
      </c>
      <c r="D5" s="76" t="s">
        <v>144</v>
      </c>
      <c r="E5" s="76" t="s">
        <v>145</v>
      </c>
    </row>
    <row r="6" spans="2:5" ht="15" x14ac:dyDescent="0.45">
      <c r="B6" s="77">
        <v>0</v>
      </c>
      <c r="C6" s="78">
        <f>'VAN-TIR'!I6*-1</f>
        <v>13045.616236192416</v>
      </c>
      <c r="D6" s="76"/>
      <c r="E6" s="76"/>
    </row>
    <row r="7" spans="2:5" ht="15" x14ac:dyDescent="0.45">
      <c r="B7" s="77">
        <v>1</v>
      </c>
      <c r="C7" s="76"/>
      <c r="D7" s="78">
        <f>'VAN-TIR'!I7</f>
        <v>3425.6162361924157</v>
      </c>
      <c r="E7" s="78">
        <f>D7</f>
        <v>3425.6162361924157</v>
      </c>
    </row>
    <row r="8" spans="2:5" ht="15" x14ac:dyDescent="0.45">
      <c r="B8" s="79">
        <v>2</v>
      </c>
      <c r="C8" s="80"/>
      <c r="D8" s="78">
        <f>'VAN-TIR'!I8</f>
        <v>3542.2765450479601</v>
      </c>
      <c r="E8" s="81">
        <f>E7+D8</f>
        <v>6967.8927812403763</v>
      </c>
    </row>
    <row r="9" spans="2:5" ht="15" x14ac:dyDescent="0.45">
      <c r="B9" s="79">
        <v>3</v>
      </c>
      <c r="C9" s="80"/>
      <c r="D9" s="78">
        <f>'VAN-TIR'!I9</f>
        <v>3663.2423841411869</v>
      </c>
      <c r="E9" s="81">
        <f t="shared" ref="E9:E11" si="0">E8+D9</f>
        <v>10631.135165381564</v>
      </c>
    </row>
    <row r="10" spans="2:5" ht="15" x14ac:dyDescent="0.45">
      <c r="B10" s="79">
        <v>4</v>
      </c>
      <c r="C10" s="80"/>
      <c r="D10" s="78">
        <f>'VAN-TIR'!I10</f>
        <v>3708.465888888376</v>
      </c>
      <c r="E10" s="81">
        <f t="shared" si="0"/>
        <v>14339.601054269941</v>
      </c>
    </row>
    <row r="11" spans="2:5" ht="15" x14ac:dyDescent="0.45">
      <c r="B11" s="79">
        <v>5</v>
      </c>
      <c r="C11" s="80"/>
      <c r="D11" s="78">
        <f>'VAN-TIR'!I11</f>
        <v>3837.8514699500092</v>
      </c>
      <c r="E11" s="81">
        <f t="shared" si="0"/>
        <v>18177.452524219949</v>
      </c>
    </row>
    <row r="12" spans="2:5" ht="15" x14ac:dyDescent="0.45">
      <c r="B12" s="76"/>
      <c r="C12" s="82"/>
      <c r="D12" s="82"/>
      <c r="E12" s="76"/>
    </row>
    <row r="13" spans="2:5" ht="15" x14ac:dyDescent="0.45">
      <c r="B13" s="77" t="s">
        <v>146</v>
      </c>
      <c r="C13" s="77" t="s">
        <v>78</v>
      </c>
      <c r="D13" s="77" t="s">
        <v>147</v>
      </c>
      <c r="E13" s="77" t="s">
        <v>148</v>
      </c>
    </row>
    <row r="14" spans="2:5" ht="15" x14ac:dyDescent="0.45">
      <c r="B14" s="83">
        <f>D9</f>
        <v>3663.2423841411869</v>
      </c>
      <c r="C14" s="77">
        <v>1</v>
      </c>
      <c r="D14" s="77">
        <v>12</v>
      </c>
      <c r="E14" s="77">
        <v>30</v>
      </c>
    </row>
    <row r="15" spans="2:5" ht="15" x14ac:dyDescent="0.45">
      <c r="B15" s="83">
        <f>C6-E8</f>
        <v>6077.7234549520399</v>
      </c>
      <c r="C15" s="77">
        <f>B15/B14</f>
        <v>1.6591103775342744</v>
      </c>
      <c r="D15" s="77">
        <f>C15*D14</f>
        <v>19.909324530411293</v>
      </c>
      <c r="E15" s="84">
        <f>(D15-9)*E14</f>
        <v>327.27973591233882</v>
      </c>
    </row>
  </sheetData>
  <pageMargins left="0.7" right="0.7" top="0.75" bottom="0.75" header="0.3" footer="0.3"/>
  <pageSetup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DDA04-A19D-44AA-955F-23D9D1925CB3}">
  <dimension ref="B6:G36"/>
  <sheetViews>
    <sheetView topLeftCell="A2" zoomScale="110" zoomScaleNormal="110" workbookViewId="0">
      <selection activeCell="C16" sqref="C16"/>
    </sheetView>
  </sheetViews>
  <sheetFormatPr baseColWidth="10" defaultRowHeight="14.25" x14ac:dyDescent="0.45"/>
  <cols>
    <col min="2" max="2" width="21.73046875" bestFit="1" customWidth="1"/>
    <col min="3" max="3" width="11.265625" bestFit="1" customWidth="1"/>
    <col min="4" max="4" width="28.3984375" bestFit="1" customWidth="1"/>
    <col min="5" max="5" width="11.265625" bestFit="1" customWidth="1"/>
  </cols>
  <sheetData>
    <row r="6" spans="2:7" ht="15.4" x14ac:dyDescent="0.45">
      <c r="B6" s="2" t="s">
        <v>18</v>
      </c>
      <c r="C6" s="3"/>
      <c r="D6" s="2" t="s">
        <v>19</v>
      </c>
      <c r="E6" s="3"/>
    </row>
    <row r="7" spans="2:7" ht="15.4" x14ac:dyDescent="0.45">
      <c r="B7" s="2" t="s">
        <v>20</v>
      </c>
      <c r="C7" s="4">
        <f>C8+C9</f>
        <v>5565.6162361924162</v>
      </c>
      <c r="D7" s="2" t="s">
        <v>21</v>
      </c>
      <c r="E7" s="3"/>
    </row>
    <row r="8" spans="2:7" ht="15.4" x14ac:dyDescent="0.45">
      <c r="B8" s="5" t="s">
        <v>22</v>
      </c>
      <c r="C8" s="3">
        <f>ER!C39</f>
        <v>3425.6162361924157</v>
      </c>
      <c r="D8" s="5" t="s">
        <v>23</v>
      </c>
      <c r="E8" s="3">
        <f>'TAB AMOR'!E11</f>
        <v>566.73402398185135</v>
      </c>
    </row>
    <row r="9" spans="2:7" ht="15.4" x14ac:dyDescent="0.45">
      <c r="B9" s="5" t="s">
        <v>38</v>
      </c>
      <c r="C9" s="3">
        <f>C26</f>
        <v>2140</v>
      </c>
      <c r="D9" s="5"/>
      <c r="E9" s="3"/>
    </row>
    <row r="10" spans="2:7" ht="15.4" x14ac:dyDescent="0.45">
      <c r="B10" s="2" t="s">
        <v>24</v>
      </c>
      <c r="C10" s="4">
        <f>SUM(C11:C13)-C14</f>
        <v>7000</v>
      </c>
      <c r="D10" s="2" t="s">
        <v>25</v>
      </c>
      <c r="E10" s="3"/>
      <c r="F10" s="14">
        <f>C9-G17</f>
        <v>2140</v>
      </c>
    </row>
    <row r="11" spans="2:7" ht="15.4" x14ac:dyDescent="0.45">
      <c r="B11" s="5" t="s">
        <v>28</v>
      </c>
      <c r="C11" s="3">
        <v>1200</v>
      </c>
      <c r="D11" s="5" t="s">
        <v>23</v>
      </c>
      <c r="E11" s="3">
        <f>'TAB AMOR'!C12</f>
        <v>2356.1662263326684</v>
      </c>
    </row>
    <row r="12" spans="2:7" ht="15.4" x14ac:dyDescent="0.45">
      <c r="B12" s="5" t="s">
        <v>26</v>
      </c>
      <c r="C12" s="3">
        <v>240</v>
      </c>
      <c r="D12" s="2" t="s">
        <v>27</v>
      </c>
      <c r="E12" s="4">
        <f>E8+E11</f>
        <v>2922.9002503145198</v>
      </c>
      <c r="G12" s="14"/>
    </row>
    <row r="13" spans="2:7" ht="15.4" x14ac:dyDescent="0.45">
      <c r="B13" s="5" t="s">
        <v>93</v>
      </c>
      <c r="C13" s="3">
        <v>7200</v>
      </c>
      <c r="D13" s="2"/>
      <c r="E13" s="4"/>
    </row>
    <row r="14" spans="2:7" ht="15.4" x14ac:dyDescent="0.45">
      <c r="B14" s="5" t="s">
        <v>29</v>
      </c>
      <c r="C14" s="3">
        <f>DEP!E11</f>
        <v>1640</v>
      </c>
      <c r="D14" s="2" t="s">
        <v>30</v>
      </c>
      <c r="E14" s="3"/>
      <c r="F14" s="14"/>
      <c r="G14" s="14">
        <f>E11+G17</f>
        <v>2356.1662263326684</v>
      </c>
    </row>
    <row r="15" spans="2:7" ht="15.4" x14ac:dyDescent="0.45">
      <c r="B15" s="2" t="s">
        <v>31</v>
      </c>
      <c r="C15" s="4">
        <f>C16-C17</f>
        <v>480</v>
      </c>
      <c r="D15" s="5" t="s">
        <v>32</v>
      </c>
      <c r="E15" s="3">
        <f>E30</f>
        <v>7973.65</v>
      </c>
    </row>
    <row r="16" spans="2:7" ht="15.4" x14ac:dyDescent="0.45">
      <c r="B16" s="5" t="s">
        <v>149</v>
      </c>
      <c r="C16" s="3">
        <v>600</v>
      </c>
      <c r="D16" s="5" t="s">
        <v>33</v>
      </c>
      <c r="E16" s="3">
        <f>ER!D14</f>
        <v>2149.0659858778959</v>
      </c>
      <c r="G16" s="14"/>
    </row>
    <row r="17" spans="2:7" ht="15.4" x14ac:dyDescent="0.45">
      <c r="B17" s="5" t="s">
        <v>35</v>
      </c>
      <c r="C17" s="3">
        <f>DEP!E18</f>
        <v>120</v>
      </c>
      <c r="D17" s="2" t="s">
        <v>34</v>
      </c>
      <c r="E17" s="4">
        <f>E16+E15</f>
        <v>10122.715985877896</v>
      </c>
      <c r="G17" s="14">
        <f>C18-E18</f>
        <v>0</v>
      </c>
    </row>
    <row r="18" spans="2:7" ht="15.4" x14ac:dyDescent="0.45">
      <c r="B18" s="5" t="s">
        <v>36</v>
      </c>
      <c r="C18" s="3">
        <f>C7+C10+C15</f>
        <v>13045.616236192416</v>
      </c>
      <c r="D18" s="2" t="s">
        <v>37</v>
      </c>
      <c r="E18" s="3">
        <f>E17+E12</f>
        <v>13045.616236192416</v>
      </c>
      <c r="G18" s="14">
        <f>E15+G17</f>
        <v>7973.65</v>
      </c>
    </row>
    <row r="20" spans="2:7" x14ac:dyDescent="0.45">
      <c r="G20" s="14"/>
    </row>
    <row r="23" spans="2:7" ht="15.4" x14ac:dyDescent="0.45">
      <c r="B23" s="2" t="s">
        <v>18</v>
      </c>
      <c r="C23" s="3"/>
      <c r="D23" s="2" t="s">
        <v>19</v>
      </c>
      <c r="E23" s="3"/>
    </row>
    <row r="24" spans="2:7" ht="15.4" x14ac:dyDescent="0.45">
      <c r="B24" s="2" t="s">
        <v>20</v>
      </c>
      <c r="C24" s="4">
        <f>C25+C26</f>
        <v>2140</v>
      </c>
      <c r="D24" s="2" t="s">
        <v>21</v>
      </c>
      <c r="E24" s="3"/>
    </row>
    <row r="25" spans="2:7" ht="15.4" x14ac:dyDescent="0.45">
      <c r="B25" s="5" t="s">
        <v>22</v>
      </c>
      <c r="C25" s="3">
        <v>0</v>
      </c>
      <c r="D25" s="5" t="s">
        <v>23</v>
      </c>
      <c r="E25" s="3">
        <v>0</v>
      </c>
    </row>
    <row r="26" spans="2:7" ht="15.4" x14ac:dyDescent="0.45">
      <c r="B26" s="5" t="s">
        <v>38</v>
      </c>
      <c r="C26" s="3">
        <v>2140</v>
      </c>
      <c r="D26" s="2" t="s">
        <v>25</v>
      </c>
      <c r="E26" s="3"/>
    </row>
    <row r="27" spans="2:7" ht="15.75" thickBot="1" x14ac:dyDescent="0.5">
      <c r="B27" s="2" t="s">
        <v>24</v>
      </c>
      <c r="C27" s="4">
        <f>SUM(C28:C30)</f>
        <v>8640</v>
      </c>
      <c r="D27" s="5" t="s">
        <v>23</v>
      </c>
      <c r="E27" s="63">
        <v>3406.35</v>
      </c>
    </row>
    <row r="28" spans="2:7" ht="15.4" x14ac:dyDescent="0.45">
      <c r="B28" s="5" t="s">
        <v>28</v>
      </c>
      <c r="C28" s="3">
        <v>1200</v>
      </c>
      <c r="D28" s="2" t="s">
        <v>27</v>
      </c>
      <c r="E28" s="4">
        <f>E25+E27</f>
        <v>3406.35</v>
      </c>
    </row>
    <row r="29" spans="2:7" ht="15.4" x14ac:dyDescent="0.45">
      <c r="B29" s="5" t="s">
        <v>26</v>
      </c>
      <c r="C29" s="3">
        <v>240</v>
      </c>
      <c r="D29" s="2" t="s">
        <v>30</v>
      </c>
      <c r="E29" s="3"/>
    </row>
    <row r="30" spans="2:7" ht="15.4" x14ac:dyDescent="0.45">
      <c r="B30" s="5" t="s">
        <v>93</v>
      </c>
      <c r="C30" s="3">
        <v>7200</v>
      </c>
      <c r="D30" s="5" t="s">
        <v>32</v>
      </c>
      <c r="E30" s="57">
        <v>7973.65</v>
      </c>
    </row>
    <row r="31" spans="2:7" ht="15.4" x14ac:dyDescent="0.45">
      <c r="B31" s="2" t="s">
        <v>31</v>
      </c>
      <c r="C31" s="4">
        <f>C32</f>
        <v>600</v>
      </c>
      <c r="D31" s="5"/>
      <c r="E31" s="3"/>
      <c r="G31" s="14">
        <f>C33-E27</f>
        <v>7973.65</v>
      </c>
    </row>
    <row r="32" spans="2:7" ht="15.4" x14ac:dyDescent="0.45">
      <c r="B32" s="5" t="s">
        <v>149</v>
      </c>
      <c r="C32" s="3">
        <v>600</v>
      </c>
      <c r="D32" s="2" t="s">
        <v>34</v>
      </c>
      <c r="E32" s="4">
        <f>E31+E30</f>
        <v>7973.65</v>
      </c>
    </row>
    <row r="33" spans="2:5" ht="15.4" x14ac:dyDescent="0.45">
      <c r="B33" s="5" t="s">
        <v>36</v>
      </c>
      <c r="C33" s="3">
        <f>C24+C27+C31</f>
        <v>11380</v>
      </c>
      <c r="D33" s="2" t="s">
        <v>37</v>
      </c>
      <c r="E33" s="3">
        <f>E32+E28</f>
        <v>11380</v>
      </c>
    </row>
    <row r="36" spans="2:5" x14ac:dyDescent="0.45">
      <c r="D36" s="14">
        <f>C33-E28</f>
        <v>7973.65</v>
      </c>
    </row>
  </sheetData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7D004-A481-42BC-992D-72F272B49954}">
  <dimension ref="B2:U118"/>
  <sheetViews>
    <sheetView workbookViewId="0">
      <selection activeCell="F22" sqref="F22"/>
    </sheetView>
  </sheetViews>
  <sheetFormatPr baseColWidth="10" defaultRowHeight="14.25" x14ac:dyDescent="0.45"/>
  <cols>
    <col min="1" max="1" width="5" customWidth="1"/>
    <col min="2" max="2" width="8.1328125" bestFit="1" customWidth="1"/>
    <col min="9" max="9" width="12.59765625" bestFit="1" customWidth="1"/>
    <col min="10" max="10" width="10.73046875" bestFit="1" customWidth="1"/>
  </cols>
  <sheetData>
    <row r="2" spans="2:21" x14ac:dyDescent="0.45">
      <c r="B2" t="s">
        <v>182</v>
      </c>
      <c r="D2" s="119">
        <f>BGENE!C18</f>
        <v>13045.616236192416</v>
      </c>
    </row>
    <row r="4" spans="2:21" x14ac:dyDescent="0.45">
      <c r="B4" s="107" t="s">
        <v>71</v>
      </c>
      <c r="C4" s="107" t="s">
        <v>72</v>
      </c>
      <c r="D4" s="107" t="s">
        <v>73</v>
      </c>
      <c r="E4" s="107" t="s">
        <v>74</v>
      </c>
      <c r="F4" s="107" t="s">
        <v>75</v>
      </c>
      <c r="G4" s="94"/>
      <c r="H4" s="93" t="s">
        <v>71</v>
      </c>
      <c r="I4" s="93" t="s">
        <v>72</v>
      </c>
      <c r="J4" s="93" t="s">
        <v>73</v>
      </c>
      <c r="K4" s="93" t="s">
        <v>74</v>
      </c>
      <c r="L4" s="93" t="s">
        <v>75</v>
      </c>
      <c r="M4" s="94"/>
      <c r="N4" s="94"/>
      <c r="O4" s="94"/>
      <c r="P4" s="94"/>
      <c r="Q4" s="94"/>
      <c r="R4" s="94"/>
      <c r="S4" s="94"/>
      <c r="T4" s="94"/>
      <c r="U4" s="94"/>
    </row>
    <row r="5" spans="2:21" x14ac:dyDescent="0.45">
      <c r="B5" s="108">
        <v>1</v>
      </c>
      <c r="C5" s="109">
        <f>BGENE!E27</f>
        <v>3406.35</v>
      </c>
      <c r="D5" s="109">
        <f>M16</f>
        <v>510.5800166142389</v>
      </c>
      <c r="E5" s="109">
        <f t="shared" ref="E5:F5" si="0">N16</f>
        <v>483.44974968548013</v>
      </c>
      <c r="F5" s="109">
        <f t="shared" si="0"/>
        <v>994.0297662997192</v>
      </c>
      <c r="G5" s="97"/>
      <c r="H5" s="95">
        <v>1</v>
      </c>
      <c r="I5" s="96">
        <f>C10</f>
        <v>3406.35</v>
      </c>
      <c r="J5" s="109">
        <f>IPMT((0.16/12),1,60,-I5)</f>
        <v>45.417999999999999</v>
      </c>
      <c r="K5" s="96">
        <f>L5-J5</f>
        <v>37.41781385830992</v>
      </c>
      <c r="L5" s="96">
        <f>PMT((0.16/12),60,-$I$5,0,0)</f>
        <v>82.835813858309919</v>
      </c>
      <c r="M5" s="97"/>
      <c r="N5" s="94"/>
      <c r="O5" s="94"/>
      <c r="P5" s="94"/>
      <c r="Q5" s="94"/>
      <c r="R5" s="94"/>
      <c r="S5" s="94"/>
      <c r="T5" s="94"/>
      <c r="U5" s="94"/>
    </row>
    <row r="6" spans="2:21" x14ac:dyDescent="0.45">
      <c r="B6" s="94"/>
      <c r="C6" s="94"/>
      <c r="D6" s="94"/>
      <c r="E6" s="94"/>
      <c r="F6" s="94"/>
      <c r="G6" s="97"/>
      <c r="H6" s="95">
        <v>2</v>
      </c>
      <c r="I6" s="96">
        <f>I5-K5</f>
        <v>3368.9321861416902</v>
      </c>
      <c r="J6" s="109">
        <f>IPMT((0.16/12),1,60,-I6)</f>
        <v>44.919095815222541</v>
      </c>
      <c r="K6" s="96">
        <f t="shared" ref="K6:K63" si="1">L6-J6</f>
        <v>37.916718043087378</v>
      </c>
      <c r="L6" s="96">
        <f t="shared" ref="L6:L17" si="2">PMT((0.16/12),60,-$I$5,0,0)</f>
        <v>82.835813858309919</v>
      </c>
      <c r="M6" s="97"/>
      <c r="N6" s="94"/>
      <c r="O6" s="94"/>
      <c r="P6" s="94"/>
      <c r="Q6" s="94"/>
      <c r="R6" s="94"/>
      <c r="S6" s="94"/>
      <c r="T6" s="94"/>
      <c r="U6" s="94"/>
    </row>
    <row r="7" spans="2:21" x14ac:dyDescent="0.45">
      <c r="B7" s="94"/>
      <c r="C7" s="94"/>
      <c r="D7" s="94"/>
      <c r="E7" s="94"/>
      <c r="F7" s="94"/>
      <c r="G7" s="94"/>
      <c r="H7" s="95">
        <v>3</v>
      </c>
      <c r="I7" s="96">
        <f t="shared" ref="I7:I64" si="3">I6-K6</f>
        <v>3331.0154680986029</v>
      </c>
      <c r="J7" s="109">
        <f t="shared" ref="J7:J64" si="4">IPMT((0.16/12),1,60,-I7)</f>
        <v>44.413539574648041</v>
      </c>
      <c r="K7" s="96">
        <f t="shared" si="1"/>
        <v>38.422274283661878</v>
      </c>
      <c r="L7" s="96">
        <f t="shared" si="2"/>
        <v>82.835813858309919</v>
      </c>
      <c r="M7" s="97"/>
      <c r="N7" s="94"/>
      <c r="O7" s="94"/>
      <c r="P7" s="94"/>
      <c r="Q7" s="94"/>
      <c r="R7" s="94"/>
      <c r="S7" s="94"/>
      <c r="T7" s="94"/>
      <c r="U7" s="94"/>
    </row>
    <row r="8" spans="2:21" x14ac:dyDescent="0.45">
      <c r="B8" s="94"/>
      <c r="C8" s="94"/>
      <c r="D8" s="94"/>
      <c r="E8" s="94"/>
      <c r="F8" s="94"/>
      <c r="G8" s="94"/>
      <c r="H8" s="95">
        <v>4</v>
      </c>
      <c r="I8" s="96">
        <f t="shared" si="3"/>
        <v>3292.5931938149411</v>
      </c>
      <c r="J8" s="109">
        <f t="shared" si="4"/>
        <v>43.90124258419921</v>
      </c>
      <c r="K8" s="96">
        <f t="shared" si="1"/>
        <v>38.934571274110709</v>
      </c>
      <c r="L8" s="96">
        <f t="shared" si="2"/>
        <v>82.835813858309919</v>
      </c>
      <c r="M8" s="97"/>
      <c r="N8" s="94"/>
      <c r="O8" s="94"/>
      <c r="P8" s="94"/>
      <c r="Q8" s="94"/>
      <c r="R8" s="94"/>
      <c r="S8" s="94"/>
      <c r="T8" s="94"/>
      <c r="U8" s="94"/>
    </row>
    <row r="9" spans="2:21" x14ac:dyDescent="0.45">
      <c r="B9" s="107" t="s">
        <v>71</v>
      </c>
      <c r="C9" s="107" t="s">
        <v>72</v>
      </c>
      <c r="D9" s="107" t="s">
        <v>73</v>
      </c>
      <c r="E9" s="107" t="s">
        <v>74</v>
      </c>
      <c r="F9" s="107" t="s">
        <v>75</v>
      </c>
      <c r="G9" s="94"/>
      <c r="H9" s="95">
        <v>5</v>
      </c>
      <c r="I9" s="96">
        <f t="shared" si="3"/>
        <v>3253.6586225408305</v>
      </c>
      <c r="J9" s="109">
        <f t="shared" si="4"/>
        <v>43.382114967211074</v>
      </c>
      <c r="K9" s="96">
        <f t="shared" si="1"/>
        <v>39.453698891098846</v>
      </c>
      <c r="L9" s="96">
        <f t="shared" si="2"/>
        <v>82.835813858309919</v>
      </c>
      <c r="M9" s="97"/>
      <c r="N9" s="94"/>
      <c r="O9" s="94"/>
      <c r="P9" s="94"/>
      <c r="Q9" s="94"/>
      <c r="R9" s="94"/>
      <c r="S9" s="94"/>
      <c r="T9" s="94"/>
      <c r="U9" s="94"/>
    </row>
    <row r="10" spans="2:21" x14ac:dyDescent="0.45">
      <c r="B10" s="108">
        <v>1</v>
      </c>
      <c r="C10" s="109">
        <f>C5</f>
        <v>3406.35</v>
      </c>
      <c r="D10" s="109">
        <f>M16</f>
        <v>510.5800166142389</v>
      </c>
      <c r="E10" s="109">
        <f t="shared" ref="E10:F10" si="5">N16</f>
        <v>483.44974968548013</v>
      </c>
      <c r="F10" s="109">
        <f t="shared" si="5"/>
        <v>994.0297662997192</v>
      </c>
      <c r="G10" s="94"/>
      <c r="H10" s="95">
        <v>6</v>
      </c>
      <c r="I10" s="96">
        <f t="shared" si="3"/>
        <v>3214.2049236497314</v>
      </c>
      <c r="J10" s="109">
        <f t="shared" si="4"/>
        <v>42.85606564866309</v>
      </c>
      <c r="K10" s="96">
        <f t="shared" si="1"/>
        <v>39.979748209646829</v>
      </c>
      <c r="L10" s="96">
        <f t="shared" si="2"/>
        <v>82.835813858309919</v>
      </c>
      <c r="M10" s="97"/>
      <c r="N10" s="94"/>
      <c r="O10" s="94"/>
      <c r="P10" s="94"/>
      <c r="Q10" s="94"/>
      <c r="R10" s="94"/>
      <c r="S10" s="94"/>
      <c r="T10" s="94"/>
      <c r="U10" s="94"/>
    </row>
    <row r="11" spans="2:21" x14ac:dyDescent="0.45">
      <c r="B11" s="108">
        <v>2</v>
      </c>
      <c r="C11" s="109">
        <f>C10-E10</f>
        <v>2922.9002503145198</v>
      </c>
      <c r="D11" s="110">
        <f>M28</f>
        <v>427.29574231786756</v>
      </c>
      <c r="E11" s="110">
        <f t="shared" ref="E11:F11" si="6">N28</f>
        <v>566.73402398185135</v>
      </c>
      <c r="F11" s="110">
        <f t="shared" si="6"/>
        <v>994.0297662997192</v>
      </c>
      <c r="G11" s="94"/>
      <c r="H11" s="95">
        <v>7</v>
      </c>
      <c r="I11" s="96">
        <f t="shared" si="3"/>
        <v>3174.2251754400845</v>
      </c>
      <c r="J11" s="109">
        <f t="shared" si="4"/>
        <v>42.323002339201132</v>
      </c>
      <c r="K11" s="96">
        <f t="shared" si="1"/>
        <v>40.512811519108787</v>
      </c>
      <c r="L11" s="96">
        <f t="shared" si="2"/>
        <v>82.835813858309919</v>
      </c>
      <c r="M11" s="97"/>
      <c r="N11" s="94"/>
      <c r="O11" s="94"/>
      <c r="P11" s="94"/>
      <c r="Q11" s="94"/>
      <c r="R11" s="94"/>
      <c r="S11" s="94"/>
      <c r="T11" s="94"/>
      <c r="U11" s="94"/>
    </row>
    <row r="12" spans="2:21" x14ac:dyDescent="0.45">
      <c r="B12" s="108">
        <v>3</v>
      </c>
      <c r="C12" s="109">
        <f t="shared" ref="C12:C14" si="7">C11-E11</f>
        <v>2356.1662263326684</v>
      </c>
      <c r="D12" s="110">
        <f>M40</f>
        <v>329.66401960604918</v>
      </c>
      <c r="E12" s="110">
        <f t="shared" ref="E12:F12" si="8">N40</f>
        <v>664.36574669366973</v>
      </c>
      <c r="F12" s="110">
        <f t="shared" si="8"/>
        <v>994.0297662997192</v>
      </c>
      <c r="G12" s="94"/>
      <c r="H12" s="95">
        <v>8</v>
      </c>
      <c r="I12" s="96">
        <f t="shared" si="3"/>
        <v>3133.7123639209758</v>
      </c>
      <c r="J12" s="109">
        <f t="shared" si="4"/>
        <v>41.782831518946345</v>
      </c>
      <c r="K12" s="96">
        <f t="shared" si="1"/>
        <v>41.052982339363574</v>
      </c>
      <c r="L12" s="96">
        <f t="shared" si="2"/>
        <v>82.835813858309919</v>
      </c>
      <c r="M12" s="97"/>
      <c r="N12" s="94"/>
      <c r="O12" s="94"/>
      <c r="P12" s="94"/>
      <c r="Q12" s="94"/>
      <c r="R12" s="94"/>
      <c r="S12" s="94"/>
      <c r="T12" s="94"/>
      <c r="U12" s="94"/>
    </row>
    <row r="13" spans="2:21" x14ac:dyDescent="0.45">
      <c r="B13" s="108">
        <v>4</v>
      </c>
      <c r="C13" s="109">
        <f t="shared" si="7"/>
        <v>1691.8004796389987</v>
      </c>
      <c r="D13" s="109">
        <f>M52</f>
        <v>215.21320208727676</v>
      </c>
      <c r="E13" s="109">
        <f t="shared" ref="E13:F13" si="9">N52</f>
        <v>778.81656421244236</v>
      </c>
      <c r="F13" s="109">
        <f t="shared" si="9"/>
        <v>994.0297662997192</v>
      </c>
      <c r="G13" s="94"/>
      <c r="H13" s="95">
        <v>9</v>
      </c>
      <c r="I13" s="96">
        <f t="shared" si="3"/>
        <v>3092.6593815816123</v>
      </c>
      <c r="J13" s="109">
        <f t="shared" si="4"/>
        <v>41.235458421088168</v>
      </c>
      <c r="K13" s="96">
        <f t="shared" si="1"/>
        <v>41.600355437221751</v>
      </c>
      <c r="L13" s="96">
        <f t="shared" si="2"/>
        <v>82.835813858309919</v>
      </c>
      <c r="M13" s="97"/>
      <c r="N13" s="94"/>
      <c r="O13" s="94"/>
      <c r="P13" s="94"/>
      <c r="Q13" s="94"/>
      <c r="R13" s="94"/>
      <c r="S13" s="94"/>
      <c r="T13" s="94"/>
      <c r="U13" s="94"/>
    </row>
    <row r="14" spans="2:21" x14ac:dyDescent="0.45">
      <c r="B14" s="108">
        <v>5</v>
      </c>
      <c r="C14" s="109">
        <f t="shared" si="7"/>
        <v>912.98391542655634</v>
      </c>
      <c r="D14" s="109">
        <f>M64</f>
        <v>81.045850873164412</v>
      </c>
      <c r="E14" s="109">
        <f>N64</f>
        <v>912.98391542655452</v>
      </c>
      <c r="F14" s="109">
        <f>O64</f>
        <v>994.0297662997192</v>
      </c>
      <c r="G14" s="94"/>
      <c r="H14" s="95">
        <v>10</v>
      </c>
      <c r="I14" s="96">
        <f t="shared" si="3"/>
        <v>3051.0590261443904</v>
      </c>
      <c r="J14" s="109">
        <f t="shared" si="4"/>
        <v>40.680787015258538</v>
      </c>
      <c r="K14" s="96">
        <f t="shared" si="1"/>
        <v>42.155026843051381</v>
      </c>
      <c r="L14" s="96">
        <f t="shared" si="2"/>
        <v>82.835813858309919</v>
      </c>
      <c r="M14" s="97"/>
      <c r="N14" s="94"/>
      <c r="O14" s="94"/>
      <c r="P14" s="94"/>
      <c r="Q14" s="94"/>
      <c r="R14" s="94"/>
      <c r="S14" s="94"/>
      <c r="T14" s="94"/>
      <c r="U14" s="94"/>
    </row>
    <row r="15" spans="2:21" x14ac:dyDescent="0.45">
      <c r="B15" s="107" t="s">
        <v>46</v>
      </c>
      <c r="C15" s="109"/>
      <c r="D15" s="109">
        <f>SUM(D10:D14)</f>
        <v>1563.7988314985969</v>
      </c>
      <c r="E15" s="109">
        <f>SUM(E10:E14)</f>
        <v>3406.3499999999981</v>
      </c>
      <c r="F15" s="109">
        <f>SUM(F10:F14)</f>
        <v>4970.1488314985963</v>
      </c>
      <c r="G15" s="94"/>
      <c r="H15" s="95">
        <v>11</v>
      </c>
      <c r="I15" s="96">
        <f t="shared" si="3"/>
        <v>3008.9039993013389</v>
      </c>
      <c r="J15" s="109">
        <f t="shared" si="4"/>
        <v>40.118719990684518</v>
      </c>
      <c r="K15" s="96">
        <f t="shared" si="1"/>
        <v>42.717093867625401</v>
      </c>
      <c r="L15" s="96">
        <f t="shared" si="2"/>
        <v>82.835813858309919</v>
      </c>
      <c r="M15" s="97"/>
      <c r="N15" s="94"/>
      <c r="O15" s="94"/>
      <c r="P15" s="94"/>
      <c r="Q15" s="94"/>
      <c r="R15" s="94"/>
      <c r="S15" s="94"/>
      <c r="T15" s="94"/>
      <c r="U15" s="94"/>
    </row>
    <row r="16" spans="2:21" x14ac:dyDescent="0.45">
      <c r="B16" s="94"/>
      <c r="C16" s="94"/>
      <c r="D16" s="94"/>
      <c r="E16" s="94"/>
      <c r="F16" s="94"/>
      <c r="G16" s="94"/>
      <c r="H16" s="95">
        <v>12</v>
      </c>
      <c r="I16" s="96">
        <f t="shared" si="3"/>
        <v>2966.1869054337135</v>
      </c>
      <c r="J16" s="109">
        <f t="shared" si="4"/>
        <v>39.54915873911618</v>
      </c>
      <c r="K16" s="96">
        <f t="shared" si="1"/>
        <v>43.286655119193739</v>
      </c>
      <c r="L16" s="96">
        <f t="shared" si="2"/>
        <v>82.835813858309919</v>
      </c>
      <c r="M16" s="97">
        <f>SUM(J5:J16)</f>
        <v>510.5800166142389</v>
      </c>
      <c r="N16" s="97">
        <f>SUM(K5:K16)</f>
        <v>483.44974968548013</v>
      </c>
      <c r="O16" s="97">
        <f t="shared" ref="O16" si="10">SUM(L5:L16)</f>
        <v>994.0297662997192</v>
      </c>
      <c r="P16" s="94"/>
      <c r="Q16" s="94"/>
      <c r="R16" s="94"/>
      <c r="S16" s="94"/>
      <c r="T16" s="94"/>
      <c r="U16" s="94"/>
    </row>
    <row r="17" spans="2:21" x14ac:dyDescent="0.45">
      <c r="B17" s="94"/>
      <c r="C17" s="94"/>
      <c r="D17" s="94"/>
      <c r="E17" s="94"/>
      <c r="F17" s="94"/>
      <c r="G17" s="94"/>
      <c r="H17" s="95">
        <v>13</v>
      </c>
      <c r="I17" s="96">
        <f t="shared" si="3"/>
        <v>2922.9002503145198</v>
      </c>
      <c r="J17" s="96">
        <f t="shared" si="4"/>
        <v>38.972003337526935</v>
      </c>
      <c r="K17" s="96">
        <f t="shared" si="1"/>
        <v>43.863810520782984</v>
      </c>
      <c r="L17" s="96">
        <f t="shared" si="2"/>
        <v>82.835813858309919</v>
      </c>
      <c r="M17" s="97"/>
      <c r="N17" s="94"/>
      <c r="O17" s="94"/>
      <c r="P17" s="94"/>
      <c r="Q17" s="94"/>
      <c r="R17" s="94"/>
      <c r="S17" s="94"/>
      <c r="T17" s="94"/>
      <c r="U17" s="94"/>
    </row>
    <row r="18" spans="2:21" x14ac:dyDescent="0.45">
      <c r="B18" s="94"/>
      <c r="C18" s="94"/>
      <c r="D18" s="94"/>
      <c r="E18" s="94"/>
      <c r="F18" s="94"/>
      <c r="G18" s="94"/>
      <c r="H18" s="95">
        <v>14</v>
      </c>
      <c r="I18" s="96">
        <f t="shared" si="3"/>
        <v>2879.0364397937369</v>
      </c>
      <c r="J18" s="96">
        <f t="shared" si="4"/>
        <v>38.387152530583158</v>
      </c>
      <c r="K18" s="96">
        <f t="shared" si="1"/>
        <v>44.448661327726761</v>
      </c>
      <c r="L18" s="96">
        <f t="shared" ref="L18:L64" si="11">PMT((0.16/12),60,-$C$5,0,0)</f>
        <v>82.835813858309919</v>
      </c>
      <c r="M18" s="94"/>
      <c r="N18" s="94"/>
      <c r="O18" s="94"/>
      <c r="P18" s="94"/>
      <c r="Q18" s="94"/>
      <c r="R18" s="94"/>
      <c r="S18" s="94"/>
      <c r="T18" s="94"/>
      <c r="U18" s="94"/>
    </row>
    <row r="19" spans="2:21" x14ac:dyDescent="0.45">
      <c r="B19" s="94"/>
      <c r="C19" s="94"/>
      <c r="D19" s="94"/>
      <c r="E19" s="94"/>
      <c r="F19" s="94"/>
      <c r="G19" s="94"/>
      <c r="H19" s="95">
        <v>15</v>
      </c>
      <c r="I19" s="96">
        <f t="shared" si="3"/>
        <v>2834.5877784660101</v>
      </c>
      <c r="J19" s="96">
        <f t="shared" si="4"/>
        <v>37.794503712880136</v>
      </c>
      <c r="K19" s="96">
        <f t="shared" si="1"/>
        <v>45.041310145429783</v>
      </c>
      <c r="L19" s="96">
        <f t="shared" si="11"/>
        <v>82.835813858309919</v>
      </c>
      <c r="M19" s="94"/>
      <c r="N19" s="94"/>
      <c r="O19" s="94"/>
      <c r="P19" s="94"/>
      <c r="Q19" s="94"/>
      <c r="R19" s="94"/>
      <c r="S19" s="94"/>
      <c r="T19" s="94"/>
      <c r="U19" s="94"/>
    </row>
    <row r="20" spans="2:21" x14ac:dyDescent="0.45">
      <c r="B20" s="94"/>
      <c r="C20" s="94"/>
      <c r="D20" s="94"/>
      <c r="E20" s="94"/>
      <c r="F20" s="94"/>
      <c r="G20" s="94"/>
      <c r="H20" s="95">
        <v>16</v>
      </c>
      <c r="I20" s="96">
        <f t="shared" si="3"/>
        <v>2789.5464683205805</v>
      </c>
      <c r="J20" s="96">
        <f t="shared" si="4"/>
        <v>37.193952910941078</v>
      </c>
      <c r="K20" s="96">
        <f t="shared" si="1"/>
        <v>45.641860947368841</v>
      </c>
      <c r="L20" s="96">
        <f t="shared" si="11"/>
        <v>82.835813858309919</v>
      </c>
      <c r="M20" s="94"/>
      <c r="N20" s="94"/>
      <c r="O20" s="94"/>
      <c r="P20" s="94"/>
      <c r="Q20" s="94"/>
      <c r="R20" s="94"/>
      <c r="S20" s="94"/>
      <c r="T20" s="94"/>
      <c r="U20" s="94"/>
    </row>
    <row r="21" spans="2:21" x14ac:dyDescent="0.45">
      <c r="B21" s="94"/>
      <c r="C21" s="94"/>
      <c r="D21" s="94"/>
      <c r="E21" s="94"/>
      <c r="F21" s="94"/>
      <c r="G21" s="94"/>
      <c r="H21" s="95">
        <v>17</v>
      </c>
      <c r="I21" s="96">
        <f t="shared" si="3"/>
        <v>2743.9046073732115</v>
      </c>
      <c r="J21" s="96">
        <f t="shared" si="4"/>
        <v>36.585394764976158</v>
      </c>
      <c r="K21" s="96">
        <f t="shared" si="1"/>
        <v>46.250419093333761</v>
      </c>
      <c r="L21" s="96">
        <f t="shared" si="11"/>
        <v>82.835813858309919</v>
      </c>
      <c r="M21" s="94"/>
      <c r="N21" s="94"/>
      <c r="O21" s="94"/>
      <c r="P21" s="94"/>
      <c r="Q21" s="94"/>
      <c r="R21" s="94"/>
      <c r="S21" s="94"/>
      <c r="T21" s="94"/>
      <c r="U21" s="94"/>
    </row>
    <row r="22" spans="2:21" x14ac:dyDescent="0.45">
      <c r="B22" s="94"/>
      <c r="C22" s="94"/>
      <c r="D22" s="94"/>
      <c r="E22" s="94"/>
      <c r="F22" s="94"/>
      <c r="G22" s="94"/>
      <c r="H22" s="95">
        <v>18</v>
      </c>
      <c r="I22" s="96">
        <f t="shared" si="3"/>
        <v>2697.6541882798779</v>
      </c>
      <c r="J22" s="96">
        <f t="shared" si="4"/>
        <v>35.968722510398372</v>
      </c>
      <c r="K22" s="96">
        <f t="shared" si="1"/>
        <v>46.867091347911547</v>
      </c>
      <c r="L22" s="96">
        <f t="shared" si="11"/>
        <v>82.835813858309919</v>
      </c>
      <c r="M22" s="94"/>
      <c r="N22" s="94"/>
      <c r="O22" s="94"/>
      <c r="P22" s="94"/>
      <c r="Q22" s="94"/>
      <c r="R22" s="94"/>
      <c r="S22" s="94"/>
      <c r="T22" s="94"/>
      <c r="U22" s="94"/>
    </row>
    <row r="23" spans="2:21" x14ac:dyDescent="0.45">
      <c r="B23" s="94"/>
      <c r="C23" s="94"/>
      <c r="D23" s="94"/>
      <c r="E23" s="94"/>
      <c r="F23" s="94"/>
      <c r="G23" s="94"/>
      <c r="H23" s="95">
        <v>19</v>
      </c>
      <c r="I23" s="96">
        <f t="shared" si="3"/>
        <v>2650.7870969319665</v>
      </c>
      <c r="J23" s="96">
        <f t="shared" si="4"/>
        <v>35.343827959092891</v>
      </c>
      <c r="K23" s="96">
        <f t="shared" si="1"/>
        <v>47.491985899217028</v>
      </c>
      <c r="L23" s="96">
        <f t="shared" si="11"/>
        <v>82.835813858309919</v>
      </c>
      <c r="M23" s="94"/>
      <c r="N23" s="94"/>
      <c r="O23" s="94"/>
      <c r="P23" s="94"/>
      <c r="Q23" s="94"/>
      <c r="R23" s="94"/>
      <c r="S23" s="94"/>
      <c r="T23" s="94"/>
      <c r="U23" s="94"/>
    </row>
    <row r="24" spans="2:21" x14ac:dyDescent="0.45">
      <c r="B24" s="94"/>
      <c r="C24" s="94"/>
      <c r="D24" s="94"/>
      <c r="E24" s="94"/>
      <c r="F24" s="94"/>
      <c r="G24" s="94"/>
      <c r="H24" s="95">
        <v>20</v>
      </c>
      <c r="I24" s="96">
        <f t="shared" si="3"/>
        <v>2603.2951110327494</v>
      </c>
      <c r="J24" s="96">
        <f t="shared" si="4"/>
        <v>34.710601480436658</v>
      </c>
      <c r="K24" s="96">
        <f t="shared" si="1"/>
        <v>48.125212377873261</v>
      </c>
      <c r="L24" s="96">
        <f t="shared" si="11"/>
        <v>82.835813858309919</v>
      </c>
      <c r="M24" s="94"/>
      <c r="N24" s="94"/>
      <c r="O24" s="94"/>
      <c r="P24" s="94"/>
      <c r="Q24" s="94"/>
      <c r="R24" s="94"/>
      <c r="S24" s="94"/>
      <c r="T24" s="94"/>
      <c r="U24" s="94"/>
    </row>
    <row r="25" spans="2:21" x14ac:dyDescent="0.45">
      <c r="B25" s="94"/>
      <c r="C25" s="94"/>
      <c r="D25" s="94"/>
      <c r="E25" s="94"/>
      <c r="F25" s="94"/>
      <c r="G25" s="94"/>
      <c r="H25" s="95">
        <v>21</v>
      </c>
      <c r="I25" s="96">
        <f t="shared" si="3"/>
        <v>2555.1698986548763</v>
      </c>
      <c r="J25" s="96">
        <f t="shared" si="4"/>
        <v>34.068931982065017</v>
      </c>
      <c r="K25" s="96">
        <f t="shared" si="1"/>
        <v>48.766881876244902</v>
      </c>
      <c r="L25" s="96">
        <f t="shared" si="11"/>
        <v>82.835813858309919</v>
      </c>
      <c r="M25" s="94"/>
      <c r="N25" s="94"/>
      <c r="O25" s="94"/>
      <c r="P25" s="94"/>
      <c r="Q25" s="94"/>
      <c r="R25" s="94"/>
      <c r="S25" s="94"/>
      <c r="T25" s="94"/>
      <c r="U25" s="94"/>
    </row>
    <row r="26" spans="2:21" x14ac:dyDescent="0.45">
      <c r="B26" s="94"/>
      <c r="C26" s="94"/>
      <c r="D26" s="94"/>
      <c r="E26" s="94"/>
      <c r="F26" s="94"/>
      <c r="G26" s="94"/>
      <c r="H26" s="95">
        <v>22</v>
      </c>
      <c r="I26" s="96">
        <f t="shared" si="3"/>
        <v>2506.4030167786314</v>
      </c>
      <c r="J26" s="96">
        <f t="shared" si="4"/>
        <v>33.418706890381756</v>
      </c>
      <c r="K26" s="96">
        <f t="shared" si="1"/>
        <v>49.417106967928163</v>
      </c>
      <c r="L26" s="96">
        <f t="shared" si="11"/>
        <v>82.835813858309919</v>
      </c>
      <c r="M26" s="94"/>
      <c r="N26" s="94"/>
      <c r="O26" s="94"/>
      <c r="P26" s="94"/>
      <c r="Q26" s="94"/>
      <c r="R26" s="94"/>
      <c r="S26" s="94"/>
      <c r="T26" s="94"/>
      <c r="U26" s="94"/>
    </row>
    <row r="27" spans="2:21" x14ac:dyDescent="0.45">
      <c r="B27" s="94"/>
      <c r="C27" s="94"/>
      <c r="D27" s="94"/>
      <c r="E27" s="94"/>
      <c r="F27" s="94"/>
      <c r="G27" s="94"/>
      <c r="H27" s="95">
        <v>23</v>
      </c>
      <c r="I27" s="96">
        <f t="shared" si="3"/>
        <v>2456.9859098107031</v>
      </c>
      <c r="J27" s="96">
        <f t="shared" si="4"/>
        <v>32.759812130809372</v>
      </c>
      <c r="K27" s="96">
        <f t="shared" si="1"/>
        <v>50.076001727500547</v>
      </c>
      <c r="L27" s="96">
        <f t="shared" si="11"/>
        <v>82.835813858309919</v>
      </c>
      <c r="M27" s="94"/>
      <c r="N27" s="94"/>
      <c r="O27" s="94"/>
      <c r="P27" s="94"/>
      <c r="Q27" s="94"/>
      <c r="R27" s="94"/>
      <c r="S27" s="94"/>
      <c r="T27" s="94"/>
      <c r="U27" s="94"/>
    </row>
    <row r="28" spans="2:21" x14ac:dyDescent="0.45">
      <c r="B28" s="94"/>
      <c r="C28" s="94"/>
      <c r="D28" s="94"/>
      <c r="E28" s="94"/>
      <c r="F28" s="94"/>
      <c r="G28" s="94"/>
      <c r="H28" s="95">
        <v>24</v>
      </c>
      <c r="I28" s="96">
        <f t="shared" si="3"/>
        <v>2406.9099080832025</v>
      </c>
      <c r="J28" s="96">
        <f t="shared" si="4"/>
        <v>32.092132107776038</v>
      </c>
      <c r="K28" s="96">
        <f t="shared" si="1"/>
        <v>50.743681750533881</v>
      </c>
      <c r="L28" s="96">
        <f t="shared" si="11"/>
        <v>82.835813858309919</v>
      </c>
      <c r="M28" s="97">
        <f>SUM(J17:J28)</f>
        <v>427.29574231786756</v>
      </c>
      <c r="N28" s="97">
        <f>SUM(K17:K28)</f>
        <v>566.73402398185135</v>
      </c>
      <c r="O28" s="97">
        <f t="shared" ref="O28" si="12">SUM(L17:L28)</f>
        <v>994.0297662997192</v>
      </c>
      <c r="P28" s="94"/>
      <c r="Q28" s="94"/>
      <c r="R28" s="94"/>
      <c r="S28" s="94"/>
      <c r="T28" s="94"/>
      <c r="U28" s="94"/>
    </row>
    <row r="29" spans="2:21" x14ac:dyDescent="0.45">
      <c r="B29" s="94"/>
      <c r="C29" s="94"/>
      <c r="D29" s="94"/>
      <c r="E29" s="94"/>
      <c r="F29" s="94"/>
      <c r="G29" s="94"/>
      <c r="H29" s="95">
        <v>25</v>
      </c>
      <c r="I29" s="96">
        <f t="shared" si="3"/>
        <v>2356.1662263326684</v>
      </c>
      <c r="J29" s="96">
        <f t="shared" si="4"/>
        <v>31.415549684435582</v>
      </c>
      <c r="K29" s="96">
        <f t="shared" si="1"/>
        <v>51.420264173874337</v>
      </c>
      <c r="L29" s="96">
        <f t="shared" si="11"/>
        <v>82.835813858309919</v>
      </c>
      <c r="M29" s="94"/>
      <c r="N29" s="94"/>
      <c r="O29" s="94"/>
      <c r="P29" s="94"/>
      <c r="Q29" s="94"/>
      <c r="R29" s="94"/>
      <c r="S29" s="94"/>
      <c r="T29" s="94"/>
      <c r="U29" s="94"/>
    </row>
    <row r="30" spans="2:21" x14ac:dyDescent="0.45">
      <c r="B30" s="94"/>
      <c r="C30" s="94"/>
      <c r="D30" s="94"/>
      <c r="E30" s="94"/>
      <c r="F30" s="94"/>
      <c r="G30" s="94"/>
      <c r="H30" s="95">
        <v>26</v>
      </c>
      <c r="I30" s="96">
        <f t="shared" si="3"/>
        <v>2304.7459621587941</v>
      </c>
      <c r="J30" s="96">
        <f t="shared" si="4"/>
        <v>30.729946162117258</v>
      </c>
      <c r="K30" s="96">
        <f t="shared" si="1"/>
        <v>52.105867696192661</v>
      </c>
      <c r="L30" s="96">
        <f t="shared" si="11"/>
        <v>82.835813858309919</v>
      </c>
      <c r="M30" s="94"/>
      <c r="N30" s="94"/>
      <c r="O30" s="94"/>
      <c r="P30" s="94"/>
      <c r="Q30" s="94"/>
      <c r="R30" s="94"/>
      <c r="S30" s="94"/>
      <c r="T30" s="94"/>
      <c r="U30" s="94"/>
    </row>
    <row r="31" spans="2:21" x14ac:dyDescent="0.45">
      <c r="B31" s="94"/>
      <c r="C31" s="94"/>
      <c r="D31" s="94"/>
      <c r="E31" s="94"/>
      <c r="F31" s="94"/>
      <c r="G31" s="94"/>
      <c r="H31" s="95">
        <v>27</v>
      </c>
      <c r="I31" s="96">
        <f t="shared" si="3"/>
        <v>2252.6400944626016</v>
      </c>
      <c r="J31" s="96">
        <f t="shared" si="4"/>
        <v>30.035201259501356</v>
      </c>
      <c r="K31" s="96">
        <f t="shared" si="1"/>
        <v>52.800612598808563</v>
      </c>
      <c r="L31" s="96">
        <f t="shared" si="11"/>
        <v>82.835813858309919</v>
      </c>
      <c r="M31" s="94"/>
      <c r="N31" s="94"/>
      <c r="O31" s="94"/>
      <c r="P31" s="94"/>
      <c r="Q31" s="94"/>
      <c r="R31" s="94"/>
      <c r="S31" s="94"/>
      <c r="T31" s="94"/>
      <c r="U31" s="94"/>
    </row>
    <row r="32" spans="2:21" x14ac:dyDescent="0.45">
      <c r="B32" s="94"/>
      <c r="C32" s="94"/>
      <c r="D32" s="94"/>
      <c r="E32" s="94"/>
      <c r="F32" s="94"/>
      <c r="G32" s="94"/>
      <c r="H32" s="95">
        <v>28</v>
      </c>
      <c r="I32" s="96">
        <f t="shared" si="3"/>
        <v>2199.839481863793</v>
      </c>
      <c r="J32" s="96">
        <f t="shared" si="4"/>
        <v>29.331193091517243</v>
      </c>
      <c r="K32" s="96">
        <f t="shared" si="1"/>
        <v>53.504620766792677</v>
      </c>
      <c r="L32" s="96">
        <f t="shared" si="11"/>
        <v>82.835813858309919</v>
      </c>
      <c r="M32" s="94"/>
      <c r="N32" s="94"/>
      <c r="O32" s="94"/>
      <c r="P32" s="94"/>
      <c r="Q32" s="94"/>
      <c r="R32" s="94"/>
      <c r="S32" s="94"/>
      <c r="T32" s="94"/>
      <c r="U32" s="94"/>
    </row>
    <row r="33" spans="2:21" x14ac:dyDescent="0.45">
      <c r="B33" s="94"/>
      <c r="C33" s="94"/>
      <c r="D33" s="94"/>
      <c r="E33" s="94"/>
      <c r="F33" s="94"/>
      <c r="G33" s="94"/>
      <c r="H33" s="95">
        <v>29</v>
      </c>
      <c r="I33" s="96">
        <f t="shared" si="3"/>
        <v>2146.3348610970002</v>
      </c>
      <c r="J33" s="96">
        <f t="shared" si="4"/>
        <v>28.617798147960006</v>
      </c>
      <c r="K33" s="96">
        <f t="shared" si="1"/>
        <v>54.218015710349917</v>
      </c>
      <c r="L33" s="96">
        <f t="shared" si="11"/>
        <v>82.835813858309919</v>
      </c>
      <c r="M33" s="94"/>
      <c r="N33" s="94"/>
      <c r="O33" s="94"/>
      <c r="P33" s="94"/>
      <c r="Q33" s="94"/>
      <c r="R33" s="94"/>
      <c r="S33" s="94"/>
      <c r="T33" s="94"/>
      <c r="U33" s="94"/>
    </row>
    <row r="34" spans="2:21" x14ac:dyDescent="0.45">
      <c r="B34" s="94"/>
      <c r="C34" s="94"/>
      <c r="D34" s="94"/>
      <c r="E34" s="94"/>
      <c r="F34" s="94"/>
      <c r="G34" s="94"/>
      <c r="H34" s="95">
        <v>30</v>
      </c>
      <c r="I34" s="96">
        <f t="shared" si="3"/>
        <v>2092.1168453866503</v>
      </c>
      <c r="J34" s="96">
        <f t="shared" si="4"/>
        <v>27.894891271822004</v>
      </c>
      <c r="K34" s="96">
        <f t="shared" si="1"/>
        <v>54.940922586487915</v>
      </c>
      <c r="L34" s="96">
        <f t="shared" si="11"/>
        <v>82.835813858309919</v>
      </c>
      <c r="M34" s="94"/>
      <c r="N34" s="94"/>
      <c r="O34" s="94"/>
      <c r="P34" s="94"/>
      <c r="Q34" s="94"/>
      <c r="R34" s="94"/>
      <c r="S34" s="94"/>
      <c r="T34" s="94"/>
      <c r="U34" s="94"/>
    </row>
    <row r="35" spans="2:21" x14ac:dyDescent="0.45">
      <c r="B35" s="94"/>
      <c r="C35" s="94"/>
      <c r="D35" s="94"/>
      <c r="E35" s="94"/>
      <c r="F35" s="94"/>
      <c r="G35" s="94"/>
      <c r="H35" s="95">
        <v>31</v>
      </c>
      <c r="I35" s="96">
        <f t="shared" si="3"/>
        <v>2037.1759228001624</v>
      </c>
      <c r="J35" s="96">
        <f t="shared" si="4"/>
        <v>27.162345637335502</v>
      </c>
      <c r="K35" s="96">
        <f t="shared" si="1"/>
        <v>55.673468220974414</v>
      </c>
      <c r="L35" s="96">
        <f t="shared" si="11"/>
        <v>82.835813858309919</v>
      </c>
      <c r="M35" s="94"/>
      <c r="N35" s="94"/>
      <c r="O35" s="94"/>
      <c r="P35" s="94"/>
      <c r="Q35" s="94"/>
      <c r="R35" s="94"/>
      <c r="S35" s="94"/>
      <c r="T35" s="94"/>
      <c r="U35" s="94"/>
    </row>
    <row r="36" spans="2:21" x14ac:dyDescent="0.45">
      <c r="B36" s="94"/>
      <c r="C36" s="94"/>
      <c r="D36" s="94"/>
      <c r="E36" s="94"/>
      <c r="F36" s="94"/>
      <c r="G36" s="94"/>
      <c r="H36" s="95">
        <v>32</v>
      </c>
      <c r="I36" s="96">
        <f t="shared" si="3"/>
        <v>1981.502454579188</v>
      </c>
      <c r="J36" s="96">
        <f t="shared" si="4"/>
        <v>26.420032727722507</v>
      </c>
      <c r="K36" s="96">
        <f t="shared" si="1"/>
        <v>56.415781130587412</v>
      </c>
      <c r="L36" s="96">
        <f t="shared" si="11"/>
        <v>82.835813858309919</v>
      </c>
      <c r="M36" s="94"/>
      <c r="N36" s="94"/>
      <c r="O36" s="94"/>
      <c r="P36" s="94"/>
      <c r="Q36" s="94"/>
      <c r="R36" s="94"/>
      <c r="S36" s="94"/>
      <c r="T36" s="94"/>
      <c r="U36" s="94"/>
    </row>
    <row r="37" spans="2:21" x14ac:dyDescent="0.45">
      <c r="B37" s="94"/>
      <c r="C37" s="94"/>
      <c r="D37" s="94"/>
      <c r="E37" s="94"/>
      <c r="F37" s="94"/>
      <c r="G37" s="94"/>
      <c r="H37" s="95">
        <v>33</v>
      </c>
      <c r="I37" s="96">
        <f t="shared" si="3"/>
        <v>1925.0866734486005</v>
      </c>
      <c r="J37" s="96">
        <f t="shared" si="4"/>
        <v>25.66782231264801</v>
      </c>
      <c r="K37" s="96">
        <f t="shared" si="1"/>
        <v>57.167991545661906</v>
      </c>
      <c r="L37" s="96">
        <f t="shared" si="11"/>
        <v>82.835813858309919</v>
      </c>
      <c r="M37" s="94"/>
      <c r="N37" s="94"/>
      <c r="O37" s="94"/>
      <c r="P37" s="94"/>
      <c r="Q37" s="94"/>
      <c r="R37" s="94"/>
      <c r="S37" s="94"/>
      <c r="T37" s="94"/>
      <c r="U37" s="94"/>
    </row>
    <row r="38" spans="2:21" x14ac:dyDescent="0.45">
      <c r="B38" s="94"/>
      <c r="C38" s="94"/>
      <c r="D38" s="94"/>
      <c r="E38" s="94"/>
      <c r="F38" s="94"/>
      <c r="G38" s="94"/>
      <c r="H38" s="95">
        <v>34</v>
      </c>
      <c r="I38" s="96">
        <f t="shared" si="3"/>
        <v>1867.9186819029387</v>
      </c>
      <c r="J38" s="96">
        <f t="shared" si="4"/>
        <v>24.905582425372518</v>
      </c>
      <c r="K38" s="96">
        <f t="shared" si="1"/>
        <v>57.930231432937404</v>
      </c>
      <c r="L38" s="96">
        <f t="shared" si="11"/>
        <v>82.835813858309919</v>
      </c>
      <c r="M38" s="94"/>
      <c r="N38" s="94"/>
      <c r="O38" s="94"/>
      <c r="P38" s="94"/>
      <c r="Q38" s="94"/>
      <c r="R38" s="94"/>
      <c r="S38" s="94"/>
      <c r="T38" s="94"/>
      <c r="U38" s="94"/>
    </row>
    <row r="39" spans="2:21" x14ac:dyDescent="0.45">
      <c r="B39" s="94"/>
      <c r="C39" s="94"/>
      <c r="D39" s="94"/>
      <c r="E39" s="94"/>
      <c r="F39" s="94"/>
      <c r="G39" s="94"/>
      <c r="H39" s="95">
        <v>35</v>
      </c>
      <c r="I39" s="96">
        <f t="shared" si="3"/>
        <v>1809.9884504700012</v>
      </c>
      <c r="J39" s="96">
        <f t="shared" si="4"/>
        <v>24.133179339600019</v>
      </c>
      <c r="K39" s="96">
        <f t="shared" si="1"/>
        <v>58.7026345187099</v>
      </c>
      <c r="L39" s="96">
        <f t="shared" si="11"/>
        <v>82.835813858309919</v>
      </c>
      <c r="M39" s="94"/>
      <c r="N39" s="94"/>
      <c r="O39" s="94"/>
      <c r="P39" s="94"/>
      <c r="Q39" s="94"/>
      <c r="R39" s="94"/>
      <c r="S39" s="94"/>
      <c r="T39" s="94"/>
      <c r="U39" s="94"/>
    </row>
    <row r="40" spans="2:21" x14ac:dyDescent="0.45">
      <c r="B40" s="94"/>
      <c r="C40" s="94"/>
      <c r="D40" s="94"/>
      <c r="E40" s="94"/>
      <c r="F40" s="94"/>
      <c r="G40" s="94"/>
      <c r="H40" s="95">
        <v>36</v>
      </c>
      <c r="I40" s="96">
        <f t="shared" si="3"/>
        <v>1751.2858159512914</v>
      </c>
      <c r="J40" s="96">
        <f t="shared" si="4"/>
        <v>23.35047754601722</v>
      </c>
      <c r="K40" s="96">
        <f t="shared" si="1"/>
        <v>59.485336312292702</v>
      </c>
      <c r="L40" s="96">
        <f t="shared" si="11"/>
        <v>82.835813858309919</v>
      </c>
      <c r="M40" s="97">
        <f>SUM(J29:J40)</f>
        <v>329.66401960604918</v>
      </c>
      <c r="N40" s="97">
        <f>SUM(K29:K40)</f>
        <v>664.36574669366973</v>
      </c>
      <c r="O40" s="97">
        <f t="shared" ref="O40" si="13">SUM(L29:L40)</f>
        <v>994.0297662997192</v>
      </c>
      <c r="P40" s="94"/>
      <c r="Q40" s="94"/>
      <c r="R40" s="94"/>
      <c r="S40" s="94"/>
      <c r="T40" s="94"/>
      <c r="U40" s="94"/>
    </row>
    <row r="41" spans="2:21" x14ac:dyDescent="0.45">
      <c r="B41" s="94"/>
      <c r="C41" s="94"/>
      <c r="D41" s="94"/>
      <c r="E41" s="94"/>
      <c r="F41" s="94"/>
      <c r="G41" s="94"/>
      <c r="H41" s="95">
        <v>37</v>
      </c>
      <c r="I41" s="96">
        <f t="shared" si="3"/>
        <v>1691.8004796389987</v>
      </c>
      <c r="J41" s="96">
        <f t="shared" si="4"/>
        <v>22.557339728519985</v>
      </c>
      <c r="K41" s="96">
        <f t="shared" si="1"/>
        <v>60.278474129789934</v>
      </c>
      <c r="L41" s="96">
        <f t="shared" si="11"/>
        <v>82.835813858309919</v>
      </c>
      <c r="M41" s="94"/>
      <c r="N41" s="94"/>
      <c r="O41" s="94"/>
      <c r="P41" s="94"/>
      <c r="Q41" s="94"/>
      <c r="R41" s="94"/>
      <c r="S41" s="94"/>
      <c r="T41" s="94"/>
      <c r="U41" s="94"/>
    </row>
    <row r="42" spans="2:21" x14ac:dyDescent="0.45">
      <c r="B42" s="94"/>
      <c r="C42" s="94"/>
      <c r="D42" s="94"/>
      <c r="E42" s="94"/>
      <c r="F42" s="94"/>
      <c r="G42" s="94"/>
      <c r="H42" s="95">
        <v>38</v>
      </c>
      <c r="I42" s="96">
        <f t="shared" si="3"/>
        <v>1631.5220055092088</v>
      </c>
      <c r="J42" s="96">
        <f t="shared" si="4"/>
        <v>21.753626740122787</v>
      </c>
      <c r="K42" s="96">
        <f t="shared" si="1"/>
        <v>61.082187118187136</v>
      </c>
      <c r="L42" s="96">
        <f t="shared" si="11"/>
        <v>82.835813858309919</v>
      </c>
      <c r="M42" s="94"/>
      <c r="N42" s="94"/>
      <c r="O42" s="94"/>
      <c r="P42" s="94"/>
      <c r="Q42" s="94"/>
      <c r="R42" s="94"/>
      <c r="S42" s="94"/>
      <c r="T42" s="94"/>
      <c r="U42" s="94"/>
    </row>
    <row r="43" spans="2:21" x14ac:dyDescent="0.45">
      <c r="B43" s="94"/>
      <c r="C43" s="94"/>
      <c r="D43" s="94"/>
      <c r="E43" s="94"/>
      <c r="F43" s="94"/>
      <c r="G43" s="94"/>
      <c r="H43" s="95">
        <v>39</v>
      </c>
      <c r="I43" s="96">
        <f t="shared" si="3"/>
        <v>1570.4398183910216</v>
      </c>
      <c r="J43" s="96">
        <f t="shared" si="4"/>
        <v>20.939197578546956</v>
      </c>
      <c r="K43" s="96">
        <f t="shared" si="1"/>
        <v>61.896616279762966</v>
      </c>
      <c r="L43" s="96">
        <f t="shared" si="11"/>
        <v>82.835813858309919</v>
      </c>
      <c r="M43" s="94"/>
      <c r="N43" s="94"/>
      <c r="O43" s="94"/>
      <c r="P43" s="94"/>
      <c r="Q43" s="94"/>
      <c r="R43" s="94"/>
      <c r="S43" s="94"/>
      <c r="T43" s="94"/>
      <c r="U43" s="94"/>
    </row>
    <row r="44" spans="2:21" x14ac:dyDescent="0.45">
      <c r="B44" s="94"/>
      <c r="C44" s="94"/>
      <c r="D44" s="94"/>
      <c r="E44" s="94"/>
      <c r="F44" s="94"/>
      <c r="G44" s="94"/>
      <c r="H44" s="95">
        <v>40</v>
      </c>
      <c r="I44" s="96">
        <f t="shared" si="3"/>
        <v>1508.5432021112586</v>
      </c>
      <c r="J44" s="96">
        <f t="shared" si="4"/>
        <v>20.113909361483447</v>
      </c>
      <c r="K44" s="96">
        <f t="shared" si="1"/>
        <v>62.721904496826468</v>
      </c>
      <c r="L44" s="96">
        <f t="shared" si="11"/>
        <v>82.835813858309919</v>
      </c>
      <c r="M44" s="94"/>
      <c r="N44" s="94"/>
      <c r="O44" s="94"/>
      <c r="P44" s="94"/>
      <c r="Q44" s="94"/>
      <c r="R44" s="94"/>
      <c r="S44" s="94"/>
      <c r="T44" s="94"/>
      <c r="U44" s="94"/>
    </row>
    <row r="45" spans="2:21" x14ac:dyDescent="0.45">
      <c r="B45" s="94"/>
      <c r="C45" s="94"/>
      <c r="D45" s="94"/>
      <c r="E45" s="94"/>
      <c r="F45" s="94"/>
      <c r="G45" s="94"/>
      <c r="H45" s="95">
        <v>41</v>
      </c>
      <c r="I45" s="96">
        <f t="shared" si="3"/>
        <v>1445.8212976144321</v>
      </c>
      <c r="J45" s="96">
        <f t="shared" si="4"/>
        <v>19.277617301525762</v>
      </c>
      <c r="K45" s="96">
        <f t="shared" si="1"/>
        <v>63.558196556784154</v>
      </c>
      <c r="L45" s="96">
        <f t="shared" si="11"/>
        <v>82.835813858309919</v>
      </c>
      <c r="M45" s="94"/>
      <c r="N45" s="94"/>
      <c r="O45" s="94"/>
      <c r="P45" s="94"/>
      <c r="Q45" s="94"/>
      <c r="R45" s="94"/>
      <c r="S45" s="94"/>
      <c r="T45" s="94"/>
      <c r="U45" s="94"/>
    </row>
    <row r="46" spans="2:21" x14ac:dyDescent="0.45">
      <c r="B46" s="94"/>
      <c r="C46" s="94"/>
      <c r="D46" s="94"/>
      <c r="E46" s="94"/>
      <c r="F46" s="94"/>
      <c r="G46" s="94"/>
      <c r="H46" s="95">
        <v>42</v>
      </c>
      <c r="I46" s="96">
        <f t="shared" si="3"/>
        <v>1382.2631010576479</v>
      </c>
      <c r="J46" s="96">
        <f t="shared" si="4"/>
        <v>18.430174680768641</v>
      </c>
      <c r="K46" s="96">
        <f t="shared" si="1"/>
        <v>64.405639177541275</v>
      </c>
      <c r="L46" s="96">
        <f t="shared" si="11"/>
        <v>82.835813858309919</v>
      </c>
      <c r="M46" s="94"/>
      <c r="N46" s="94"/>
      <c r="O46" s="94"/>
      <c r="P46" s="94"/>
      <c r="Q46" s="94"/>
      <c r="R46" s="94"/>
      <c r="S46" s="94"/>
      <c r="T46" s="94"/>
      <c r="U46" s="94"/>
    </row>
    <row r="47" spans="2:21" x14ac:dyDescent="0.45">
      <c r="B47" s="94"/>
      <c r="C47" s="94"/>
      <c r="D47" s="94"/>
      <c r="E47" s="94"/>
      <c r="F47" s="94"/>
      <c r="G47" s="94"/>
      <c r="H47" s="95">
        <v>43</v>
      </c>
      <c r="I47" s="96">
        <f t="shared" si="3"/>
        <v>1317.8574618801067</v>
      </c>
      <c r="J47" s="96">
        <f t="shared" si="4"/>
        <v>17.57143282506809</v>
      </c>
      <c r="K47" s="96">
        <f t="shared" si="1"/>
        <v>65.264381033241833</v>
      </c>
      <c r="L47" s="96">
        <f t="shared" si="11"/>
        <v>82.835813858309919</v>
      </c>
      <c r="M47" s="94"/>
      <c r="N47" s="94"/>
      <c r="O47" s="94"/>
      <c r="P47" s="94"/>
      <c r="Q47" s="94"/>
      <c r="R47" s="94"/>
      <c r="S47" s="94"/>
      <c r="T47" s="94"/>
      <c r="U47" s="94"/>
    </row>
    <row r="48" spans="2:21" x14ac:dyDescent="0.45">
      <c r="B48" s="94"/>
      <c r="C48" s="94"/>
      <c r="D48" s="94"/>
      <c r="E48" s="94"/>
      <c r="F48" s="94"/>
      <c r="G48" s="94"/>
      <c r="H48" s="95">
        <v>44</v>
      </c>
      <c r="I48" s="96">
        <f t="shared" si="3"/>
        <v>1252.593080846865</v>
      </c>
      <c r="J48" s="96">
        <f t="shared" si="4"/>
        <v>16.701241077958201</v>
      </c>
      <c r="K48" s="96">
        <f t="shared" si="1"/>
        <v>66.134572780351718</v>
      </c>
      <c r="L48" s="96">
        <f t="shared" si="11"/>
        <v>82.835813858309919</v>
      </c>
      <c r="M48" s="94"/>
      <c r="N48" s="94"/>
      <c r="O48" s="94"/>
      <c r="P48" s="94"/>
      <c r="Q48" s="94"/>
      <c r="R48" s="94"/>
      <c r="S48" s="94"/>
      <c r="T48" s="94"/>
      <c r="U48" s="94"/>
    </row>
    <row r="49" spans="2:21" x14ac:dyDescent="0.45">
      <c r="B49" s="94"/>
      <c r="C49" s="94"/>
      <c r="D49" s="94"/>
      <c r="E49" s="94"/>
      <c r="F49" s="94"/>
      <c r="G49" s="94"/>
      <c r="H49" s="95">
        <v>45</v>
      </c>
      <c r="I49" s="96">
        <f t="shared" si="3"/>
        <v>1186.4585080665133</v>
      </c>
      <c r="J49" s="96">
        <f t="shared" si="4"/>
        <v>15.819446774220179</v>
      </c>
      <c r="K49" s="96">
        <f t="shared" si="1"/>
        <v>67.016367084089737</v>
      </c>
      <c r="L49" s="96">
        <f t="shared" si="11"/>
        <v>82.835813858309919</v>
      </c>
      <c r="M49" s="94"/>
      <c r="N49" s="94"/>
      <c r="O49" s="94"/>
      <c r="P49" s="94"/>
      <c r="Q49" s="94"/>
      <c r="R49" s="94"/>
      <c r="S49" s="94"/>
      <c r="T49" s="94"/>
      <c r="U49" s="94"/>
    </row>
    <row r="50" spans="2:21" x14ac:dyDescent="0.45">
      <c r="B50" s="94"/>
      <c r="C50" s="94"/>
      <c r="D50" s="94"/>
      <c r="E50" s="94"/>
      <c r="F50" s="94"/>
      <c r="G50" s="94"/>
      <c r="H50" s="95">
        <v>46</v>
      </c>
      <c r="I50" s="96">
        <f t="shared" si="3"/>
        <v>1119.4421409824236</v>
      </c>
      <c r="J50" s="96">
        <f t="shared" si="4"/>
        <v>14.925895213098981</v>
      </c>
      <c r="K50" s="96">
        <f t="shared" si="1"/>
        <v>67.909918645210936</v>
      </c>
      <c r="L50" s="96">
        <f t="shared" si="11"/>
        <v>82.835813858309919</v>
      </c>
      <c r="M50" s="94"/>
      <c r="N50" s="94"/>
      <c r="O50" s="94"/>
      <c r="P50" s="94"/>
      <c r="Q50" s="94"/>
      <c r="R50" s="94"/>
      <c r="S50" s="94"/>
      <c r="T50" s="94"/>
      <c r="U50" s="94"/>
    </row>
    <row r="51" spans="2:21" x14ac:dyDescent="0.45">
      <c r="B51" s="94"/>
      <c r="C51" s="94"/>
      <c r="D51" s="94"/>
      <c r="E51" s="94"/>
      <c r="F51" s="94"/>
      <c r="G51" s="94"/>
      <c r="H51" s="95">
        <v>47</v>
      </c>
      <c r="I51" s="96">
        <f t="shared" si="3"/>
        <v>1051.5322223372127</v>
      </c>
      <c r="J51" s="96">
        <f t="shared" si="4"/>
        <v>14.020429631162838</v>
      </c>
      <c r="K51" s="96">
        <f t="shared" si="1"/>
        <v>68.815384227147078</v>
      </c>
      <c r="L51" s="96">
        <f t="shared" si="11"/>
        <v>82.835813858309919</v>
      </c>
      <c r="M51" s="94"/>
      <c r="N51" s="94"/>
      <c r="O51" s="94"/>
      <c r="P51" s="94"/>
      <c r="Q51" s="94"/>
      <c r="R51" s="94"/>
      <c r="S51" s="94"/>
      <c r="T51" s="94"/>
      <c r="U51" s="94"/>
    </row>
    <row r="52" spans="2:21" x14ac:dyDescent="0.45">
      <c r="B52" s="94"/>
      <c r="C52" s="94"/>
      <c r="D52" s="94"/>
      <c r="E52" s="94"/>
      <c r="F52" s="94"/>
      <c r="G52" s="94"/>
      <c r="H52" s="95">
        <v>48</v>
      </c>
      <c r="I52" s="96">
        <f t="shared" si="3"/>
        <v>982.71683811006562</v>
      </c>
      <c r="J52" s="96">
        <f t="shared" si="4"/>
        <v>13.102891174800876</v>
      </c>
      <c r="K52" s="96">
        <f t="shared" si="1"/>
        <v>69.732922683509045</v>
      </c>
      <c r="L52" s="96">
        <f t="shared" si="11"/>
        <v>82.835813858309919</v>
      </c>
      <c r="M52" s="97">
        <f>SUM(J41:J52)</f>
        <v>215.21320208727676</v>
      </c>
      <c r="N52" s="97">
        <f>SUM(K41:K52)</f>
        <v>778.81656421244236</v>
      </c>
      <c r="O52" s="97">
        <f t="shared" ref="O52" si="14">SUM(L41:L52)</f>
        <v>994.0297662997192</v>
      </c>
      <c r="P52" s="94"/>
      <c r="Q52" s="94"/>
      <c r="R52" s="94"/>
      <c r="S52" s="94"/>
      <c r="T52" s="94"/>
      <c r="U52" s="94"/>
    </row>
    <row r="53" spans="2:21" x14ac:dyDescent="0.45">
      <c r="B53" s="94"/>
      <c r="C53" s="94"/>
      <c r="D53" s="94"/>
      <c r="E53" s="94"/>
      <c r="F53" s="94"/>
      <c r="G53" s="94"/>
      <c r="H53" s="95">
        <v>49</v>
      </c>
      <c r="I53" s="96">
        <f t="shared" si="3"/>
        <v>912.98391542655656</v>
      </c>
      <c r="J53" s="96">
        <f t="shared" si="4"/>
        <v>12.173118872354088</v>
      </c>
      <c r="K53" s="96">
        <f t="shared" si="1"/>
        <v>70.662694985955824</v>
      </c>
      <c r="L53" s="96">
        <f t="shared" si="11"/>
        <v>82.835813858309919</v>
      </c>
      <c r="M53" s="94"/>
      <c r="N53" s="94"/>
      <c r="O53" s="94"/>
      <c r="P53" s="94"/>
      <c r="Q53" s="94"/>
      <c r="R53" s="94"/>
      <c r="S53" s="94"/>
      <c r="T53" s="94"/>
      <c r="U53" s="94"/>
    </row>
    <row r="54" spans="2:21" x14ac:dyDescent="0.45">
      <c r="B54" s="94"/>
      <c r="C54" s="94"/>
      <c r="D54" s="94"/>
      <c r="E54" s="94"/>
      <c r="F54" s="94"/>
      <c r="G54" s="94"/>
      <c r="H54" s="95">
        <v>50</v>
      </c>
      <c r="I54" s="96">
        <f t="shared" si="3"/>
        <v>842.32122044060077</v>
      </c>
      <c r="J54" s="96">
        <f t="shared" si="4"/>
        <v>11.230949605874677</v>
      </c>
      <c r="K54" s="96">
        <f t="shared" si="1"/>
        <v>71.604864252435249</v>
      </c>
      <c r="L54" s="96">
        <f t="shared" si="11"/>
        <v>82.835813858309919</v>
      </c>
      <c r="M54" s="94"/>
      <c r="N54" s="94"/>
      <c r="O54" s="94"/>
      <c r="P54" s="94"/>
      <c r="Q54" s="94"/>
      <c r="R54" s="94"/>
      <c r="S54" s="94"/>
      <c r="T54" s="94"/>
      <c r="U54" s="94"/>
    </row>
    <row r="55" spans="2:21" x14ac:dyDescent="0.45">
      <c r="B55" s="94"/>
      <c r="C55" s="94"/>
      <c r="D55" s="94"/>
      <c r="E55" s="94"/>
      <c r="F55" s="94"/>
      <c r="G55" s="94"/>
      <c r="H55" s="95">
        <v>51</v>
      </c>
      <c r="I55" s="96">
        <f t="shared" si="3"/>
        <v>770.71635618816549</v>
      </c>
      <c r="J55" s="96">
        <f t="shared" si="4"/>
        <v>10.276218082508874</v>
      </c>
      <c r="K55" s="96">
        <f t="shared" si="1"/>
        <v>72.559595775801043</v>
      </c>
      <c r="L55" s="96">
        <f t="shared" si="11"/>
        <v>82.835813858309919</v>
      </c>
      <c r="M55" s="94"/>
      <c r="N55" s="94"/>
      <c r="O55" s="94"/>
      <c r="P55" s="94"/>
      <c r="Q55" s="94"/>
      <c r="R55" s="94"/>
      <c r="S55" s="94"/>
      <c r="T55" s="94"/>
      <c r="U55" s="94"/>
    </row>
    <row r="56" spans="2:21" x14ac:dyDescent="0.45">
      <c r="B56" s="94"/>
      <c r="C56" s="94"/>
      <c r="D56" s="94"/>
      <c r="E56" s="94"/>
      <c r="F56" s="94"/>
      <c r="G56" s="94"/>
      <c r="H56" s="95">
        <v>52</v>
      </c>
      <c r="I56" s="96">
        <f t="shared" si="3"/>
        <v>698.15676041236441</v>
      </c>
      <c r="J56" s="96">
        <f t="shared" si="4"/>
        <v>9.3087568054981933</v>
      </c>
      <c r="K56" s="96">
        <f t="shared" si="1"/>
        <v>73.527057052811728</v>
      </c>
      <c r="L56" s="96">
        <f t="shared" si="11"/>
        <v>82.835813858309919</v>
      </c>
      <c r="M56" s="94"/>
      <c r="N56" s="94"/>
      <c r="O56" s="94"/>
      <c r="P56" s="94"/>
      <c r="Q56" s="94"/>
      <c r="R56" s="94"/>
      <c r="S56" s="94"/>
      <c r="T56" s="94"/>
      <c r="U56" s="94"/>
    </row>
    <row r="57" spans="2:21" x14ac:dyDescent="0.45">
      <c r="B57" s="94"/>
      <c r="C57" s="94"/>
      <c r="D57" s="94"/>
      <c r="E57" s="94"/>
      <c r="F57" s="94"/>
      <c r="G57" s="94"/>
      <c r="H57" s="95">
        <v>53</v>
      </c>
      <c r="I57" s="96">
        <f t="shared" si="3"/>
        <v>624.62970335955265</v>
      </c>
      <c r="J57" s="96">
        <f t="shared" si="4"/>
        <v>8.3283960447940366</v>
      </c>
      <c r="K57" s="96">
        <f t="shared" si="1"/>
        <v>74.507417813515886</v>
      </c>
      <c r="L57" s="96">
        <f t="shared" si="11"/>
        <v>82.835813858309919</v>
      </c>
      <c r="M57" s="94"/>
      <c r="N57" s="94"/>
      <c r="O57" s="94"/>
      <c r="P57" s="94"/>
      <c r="Q57" s="94"/>
      <c r="R57" s="94"/>
      <c r="S57" s="94"/>
      <c r="T57" s="94"/>
      <c r="U57" s="94"/>
    </row>
    <row r="58" spans="2:21" x14ac:dyDescent="0.45">
      <c r="B58" s="94"/>
      <c r="C58" s="94"/>
      <c r="D58" s="94"/>
      <c r="E58" s="94"/>
      <c r="F58" s="94"/>
      <c r="G58" s="94"/>
      <c r="H58" s="95">
        <v>54</v>
      </c>
      <c r="I58" s="96">
        <f t="shared" si="3"/>
        <v>550.12228554603678</v>
      </c>
      <c r="J58" s="96">
        <f t="shared" si="4"/>
        <v>7.3349638072804906</v>
      </c>
      <c r="K58" s="96">
        <f t="shared" si="1"/>
        <v>75.500850051029431</v>
      </c>
      <c r="L58" s="96">
        <f t="shared" si="11"/>
        <v>82.835813858309919</v>
      </c>
      <c r="M58" s="94"/>
      <c r="N58" s="94"/>
      <c r="O58" s="94"/>
      <c r="P58" s="94"/>
      <c r="Q58" s="94"/>
      <c r="R58" s="94"/>
      <c r="S58" s="94"/>
      <c r="T58" s="94"/>
      <c r="U58" s="94"/>
    </row>
    <row r="59" spans="2:21" x14ac:dyDescent="0.45">
      <c r="B59" s="94"/>
      <c r="C59" s="94"/>
      <c r="D59" s="94"/>
      <c r="E59" s="94"/>
      <c r="F59" s="94"/>
      <c r="G59" s="94"/>
      <c r="H59" s="95">
        <v>55</v>
      </c>
      <c r="I59" s="96">
        <f t="shared" si="3"/>
        <v>474.62143549500735</v>
      </c>
      <c r="J59" s="96">
        <f t="shared" si="4"/>
        <v>6.328285806600098</v>
      </c>
      <c r="K59" s="96">
        <f t="shared" si="1"/>
        <v>76.507528051709826</v>
      </c>
      <c r="L59" s="96">
        <f t="shared" si="11"/>
        <v>82.835813858309919</v>
      </c>
      <c r="M59" s="94"/>
      <c r="N59" s="94"/>
      <c r="O59" s="94"/>
      <c r="P59" s="94"/>
      <c r="Q59" s="94"/>
      <c r="R59" s="94"/>
      <c r="S59" s="94"/>
      <c r="T59" s="94"/>
      <c r="U59" s="94"/>
    </row>
    <row r="60" spans="2:21" x14ac:dyDescent="0.45">
      <c r="B60" s="94"/>
      <c r="C60" s="94"/>
      <c r="D60" s="94"/>
      <c r="E60" s="94"/>
      <c r="F60" s="94"/>
      <c r="G60" s="94"/>
      <c r="H60" s="95">
        <v>56</v>
      </c>
      <c r="I60" s="96">
        <f t="shared" si="3"/>
        <v>398.11390744329753</v>
      </c>
      <c r="J60" s="96">
        <f t="shared" si="4"/>
        <v>5.308185432577301</v>
      </c>
      <c r="K60" s="96">
        <f t="shared" si="1"/>
        <v>77.527628425732615</v>
      </c>
      <c r="L60" s="96">
        <f t="shared" si="11"/>
        <v>82.835813858309919</v>
      </c>
      <c r="M60" s="94"/>
      <c r="N60" s="94"/>
      <c r="O60" s="94"/>
      <c r="P60" s="94"/>
      <c r="Q60" s="94"/>
      <c r="R60" s="94"/>
      <c r="S60" s="94"/>
      <c r="T60" s="94"/>
      <c r="U60" s="94"/>
    </row>
    <row r="61" spans="2:21" x14ac:dyDescent="0.45">
      <c r="B61" s="94"/>
      <c r="C61" s="94"/>
      <c r="D61" s="94"/>
      <c r="E61" s="94"/>
      <c r="F61" s="94"/>
      <c r="G61" s="94"/>
      <c r="H61" s="95">
        <v>57</v>
      </c>
      <c r="I61" s="96">
        <f t="shared" si="3"/>
        <v>320.58627901756495</v>
      </c>
      <c r="J61" s="96">
        <f t="shared" si="4"/>
        <v>4.2744837202341994</v>
      </c>
      <c r="K61" s="96">
        <f t="shared" si="1"/>
        <v>78.561330138075718</v>
      </c>
      <c r="L61" s="96">
        <f t="shared" si="11"/>
        <v>82.835813858309919</v>
      </c>
      <c r="M61" s="94"/>
      <c r="N61" s="94"/>
      <c r="O61" s="94"/>
      <c r="P61" s="94"/>
      <c r="Q61" s="94"/>
      <c r="R61" s="94"/>
      <c r="S61" s="94"/>
      <c r="T61" s="94"/>
      <c r="U61" s="94"/>
    </row>
    <row r="62" spans="2:21" x14ac:dyDescent="0.45">
      <c r="B62" s="94"/>
      <c r="C62" s="94"/>
      <c r="D62" s="94"/>
      <c r="E62" s="94"/>
      <c r="F62" s="94"/>
      <c r="G62" s="94"/>
      <c r="H62" s="95">
        <v>58</v>
      </c>
      <c r="I62" s="96">
        <f t="shared" si="3"/>
        <v>242.02494887948922</v>
      </c>
      <c r="J62" s="96">
        <f t="shared" si="4"/>
        <v>3.2269993183931898</v>
      </c>
      <c r="K62" s="96">
        <f t="shared" si="1"/>
        <v>79.608814539916736</v>
      </c>
      <c r="L62" s="96">
        <f t="shared" si="11"/>
        <v>82.835813858309919</v>
      </c>
      <c r="M62" s="94"/>
      <c r="N62" s="94"/>
      <c r="O62" s="94"/>
      <c r="P62" s="94"/>
      <c r="Q62" s="94"/>
      <c r="R62" s="94"/>
      <c r="S62" s="94"/>
      <c r="T62" s="94"/>
      <c r="U62" s="94"/>
    </row>
    <row r="63" spans="2:21" x14ac:dyDescent="0.45">
      <c r="B63" s="94"/>
      <c r="C63" s="94"/>
      <c r="D63" s="94"/>
      <c r="E63" s="94"/>
      <c r="F63" s="94"/>
      <c r="G63" s="94"/>
      <c r="H63" s="95">
        <v>59</v>
      </c>
      <c r="I63" s="96">
        <f t="shared" si="3"/>
        <v>162.41613433957247</v>
      </c>
      <c r="J63" s="96">
        <f t="shared" si="4"/>
        <v>2.1655484578609663</v>
      </c>
      <c r="K63" s="96">
        <f t="shared" si="1"/>
        <v>80.670265400448955</v>
      </c>
      <c r="L63" s="96">
        <f t="shared" si="11"/>
        <v>82.835813858309919</v>
      </c>
      <c r="M63" s="94"/>
      <c r="N63" s="94"/>
      <c r="O63" s="94"/>
      <c r="P63" s="94"/>
      <c r="Q63" s="94"/>
      <c r="R63" s="94"/>
      <c r="S63" s="94"/>
      <c r="T63" s="94"/>
      <c r="U63" s="94"/>
    </row>
    <row r="64" spans="2:21" x14ac:dyDescent="0.45">
      <c r="B64" s="94"/>
      <c r="C64" s="94"/>
      <c r="D64" s="94"/>
      <c r="E64" s="94"/>
      <c r="F64" s="94"/>
      <c r="G64" s="94"/>
      <c r="H64" s="95">
        <v>60</v>
      </c>
      <c r="I64" s="96">
        <f t="shared" si="3"/>
        <v>81.745868939123511</v>
      </c>
      <c r="J64" s="96">
        <f t="shared" si="4"/>
        <v>1.0899449191883135</v>
      </c>
      <c r="K64" s="96">
        <f>L64-J64</f>
        <v>81.745868939121607</v>
      </c>
      <c r="L64" s="96">
        <f t="shared" si="11"/>
        <v>82.835813858309919</v>
      </c>
      <c r="M64" s="97">
        <f>SUM(J53:J64)</f>
        <v>81.045850873164412</v>
      </c>
      <c r="N64" s="97">
        <f>SUM(K53:K64)</f>
        <v>912.98391542655452</v>
      </c>
      <c r="O64" s="97">
        <f t="shared" ref="O64" si="15">SUM(L53:L64)</f>
        <v>994.0297662997192</v>
      </c>
      <c r="P64" s="94"/>
      <c r="Q64" s="94"/>
      <c r="R64" s="94"/>
      <c r="S64" s="94"/>
      <c r="T64" s="94"/>
      <c r="U64" s="94"/>
    </row>
    <row r="65" spans="2:21" x14ac:dyDescent="0.45">
      <c r="B65" s="94"/>
      <c r="C65" s="94"/>
      <c r="D65" s="94"/>
      <c r="E65" s="94"/>
      <c r="F65" s="94"/>
      <c r="G65" s="94"/>
      <c r="H65" s="93" t="s">
        <v>46</v>
      </c>
      <c r="I65" s="96"/>
      <c r="J65" s="96">
        <f>SUM(J5:J64)</f>
        <v>1563.7988314985967</v>
      </c>
      <c r="K65" s="96">
        <f t="shared" ref="K65:L65" si="16">SUM(K5:K64)</f>
        <v>3406.349999999999</v>
      </c>
      <c r="L65" s="96">
        <f t="shared" si="16"/>
        <v>4970.1488314985927</v>
      </c>
      <c r="M65" s="94"/>
      <c r="N65" s="94"/>
      <c r="O65" s="94"/>
      <c r="P65" s="94"/>
      <c r="Q65" s="94"/>
      <c r="R65" s="94"/>
      <c r="S65" s="94"/>
      <c r="T65" s="94"/>
      <c r="U65" s="94"/>
    </row>
    <row r="66" spans="2:21" x14ac:dyDescent="0.45"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</row>
    <row r="67" spans="2:21" x14ac:dyDescent="0.45"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</row>
    <row r="68" spans="2:21" x14ac:dyDescent="0.45"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</row>
    <row r="69" spans="2:21" x14ac:dyDescent="0.45"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</row>
    <row r="70" spans="2:21" x14ac:dyDescent="0.45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</row>
    <row r="71" spans="2:21" x14ac:dyDescent="0.45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</row>
    <row r="72" spans="2:21" x14ac:dyDescent="0.45"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</row>
    <row r="73" spans="2:21" x14ac:dyDescent="0.45"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</row>
    <row r="74" spans="2:21" x14ac:dyDescent="0.45"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</row>
    <row r="75" spans="2:21" x14ac:dyDescent="0.45"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</row>
    <row r="76" spans="2:21" x14ac:dyDescent="0.45"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</row>
    <row r="77" spans="2:21" x14ac:dyDescent="0.45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</row>
    <row r="78" spans="2:21" x14ac:dyDescent="0.45"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</row>
    <row r="79" spans="2:21" x14ac:dyDescent="0.45"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</row>
    <row r="80" spans="2:21" x14ac:dyDescent="0.45"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</row>
    <row r="81" spans="2:21" x14ac:dyDescent="0.45"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</row>
    <row r="82" spans="2:21" x14ac:dyDescent="0.45"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</row>
    <row r="83" spans="2:21" x14ac:dyDescent="0.45"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</row>
    <row r="84" spans="2:21" x14ac:dyDescent="0.45"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</row>
    <row r="85" spans="2:21" x14ac:dyDescent="0.45"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</row>
    <row r="86" spans="2:21" x14ac:dyDescent="0.45"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</row>
    <row r="87" spans="2:21" x14ac:dyDescent="0.45"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</row>
    <row r="88" spans="2:21" x14ac:dyDescent="0.45"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</row>
    <row r="89" spans="2:21" x14ac:dyDescent="0.45"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</row>
    <row r="90" spans="2:21" x14ac:dyDescent="0.45"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</row>
    <row r="91" spans="2:21" x14ac:dyDescent="0.45"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</row>
    <row r="92" spans="2:21" x14ac:dyDescent="0.45"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</row>
    <row r="93" spans="2:21" x14ac:dyDescent="0.45"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</row>
    <row r="94" spans="2:21" x14ac:dyDescent="0.45"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</row>
    <row r="95" spans="2:21" x14ac:dyDescent="0.45"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</row>
    <row r="96" spans="2:21" x14ac:dyDescent="0.45"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</row>
    <row r="97" spans="2:21" x14ac:dyDescent="0.45"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</row>
    <row r="98" spans="2:21" x14ac:dyDescent="0.45"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</row>
    <row r="99" spans="2:21" x14ac:dyDescent="0.45"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</row>
    <row r="100" spans="2:21" x14ac:dyDescent="0.45"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</row>
    <row r="101" spans="2:21" x14ac:dyDescent="0.45"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</row>
    <row r="102" spans="2:21" x14ac:dyDescent="0.45"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</row>
    <row r="103" spans="2:21" x14ac:dyDescent="0.45"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</row>
    <row r="104" spans="2:21" x14ac:dyDescent="0.45"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</row>
    <row r="105" spans="2:21" x14ac:dyDescent="0.45"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</row>
    <row r="106" spans="2:21" x14ac:dyDescent="0.45"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</row>
    <row r="107" spans="2:21" x14ac:dyDescent="0.45"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</row>
    <row r="108" spans="2:21" x14ac:dyDescent="0.45"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</row>
    <row r="109" spans="2:21" x14ac:dyDescent="0.45"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</row>
    <row r="110" spans="2:21" x14ac:dyDescent="0.45"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</row>
    <row r="111" spans="2:21" x14ac:dyDescent="0.45"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</row>
    <row r="112" spans="2:21" x14ac:dyDescent="0.45"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</row>
    <row r="113" spans="7:21" x14ac:dyDescent="0.45"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</row>
    <row r="114" spans="7:21" x14ac:dyDescent="0.45"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</row>
    <row r="115" spans="7:21" x14ac:dyDescent="0.45"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</row>
    <row r="116" spans="7:21" x14ac:dyDescent="0.45"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4"/>
    </row>
    <row r="117" spans="7:21" x14ac:dyDescent="0.45"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94"/>
    </row>
    <row r="118" spans="7:21" x14ac:dyDescent="0.45"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4"/>
      <c r="T118" s="94"/>
      <c r="U118" s="94"/>
    </row>
  </sheetData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28E3-9D8A-4745-9615-FA8B6044B82E}">
  <dimension ref="B4:H21"/>
  <sheetViews>
    <sheetView topLeftCell="A2" zoomScale="120" zoomScaleNormal="120" workbookViewId="0">
      <selection activeCell="C5" sqref="C5"/>
    </sheetView>
  </sheetViews>
  <sheetFormatPr baseColWidth="10" defaultRowHeight="14.25" x14ac:dyDescent="0.45"/>
  <cols>
    <col min="2" max="2" width="27.73046875" bestFit="1" customWidth="1"/>
    <col min="3" max="3" width="17.1328125" bestFit="1" customWidth="1"/>
    <col min="4" max="4" width="22.59765625" bestFit="1" customWidth="1"/>
    <col min="5" max="5" width="6.59765625" bestFit="1" customWidth="1"/>
    <col min="6" max="6" width="9.1328125" bestFit="1" customWidth="1"/>
    <col min="9" max="9" width="23.46484375" customWidth="1"/>
    <col min="10" max="10" width="25.796875" customWidth="1"/>
    <col min="11" max="11" width="8.3984375" bestFit="1" customWidth="1"/>
  </cols>
  <sheetData>
    <row r="4" spans="2:8" x14ac:dyDescent="0.45">
      <c r="B4" s="88" t="s">
        <v>2</v>
      </c>
      <c r="C4" s="88" t="s">
        <v>0</v>
      </c>
      <c r="D4" s="88" t="s">
        <v>1</v>
      </c>
      <c r="E4" s="88"/>
      <c r="F4" s="88" t="s">
        <v>66</v>
      </c>
      <c r="G4" s="89" t="s">
        <v>48</v>
      </c>
      <c r="H4" s="89" t="s">
        <v>112</v>
      </c>
    </row>
    <row r="5" spans="2:8" x14ac:dyDescent="0.45">
      <c r="B5" s="88" t="s">
        <v>3</v>
      </c>
      <c r="C5" s="1">
        <v>2</v>
      </c>
      <c r="D5" s="1">
        <v>4</v>
      </c>
      <c r="E5" s="90">
        <v>0.16</v>
      </c>
      <c r="F5" s="91">
        <f t="shared" ref="F5:F20" si="0">TRUNC(E5*F$21)</f>
        <v>1204</v>
      </c>
      <c r="G5" s="68">
        <f>D5*F5</f>
        <v>4816</v>
      </c>
      <c r="H5" s="68">
        <f>F5*C5</f>
        <v>2408</v>
      </c>
    </row>
    <row r="6" spans="2:8" x14ac:dyDescent="0.45">
      <c r="B6" s="88" t="s">
        <v>4</v>
      </c>
      <c r="C6" s="1">
        <v>3.79</v>
      </c>
      <c r="D6" s="1">
        <v>7</v>
      </c>
      <c r="E6" s="90">
        <v>0.27</v>
      </c>
      <c r="F6" s="91">
        <f t="shared" si="0"/>
        <v>2031</v>
      </c>
      <c r="G6" s="68">
        <f t="shared" ref="G6:G20" si="1">D6*F6</f>
        <v>14217</v>
      </c>
      <c r="H6" s="68">
        <f t="shared" ref="H6:H20" si="2">F6*C6</f>
        <v>7697.49</v>
      </c>
    </row>
    <row r="7" spans="2:8" x14ac:dyDescent="0.45">
      <c r="B7" s="88" t="s">
        <v>5</v>
      </c>
      <c r="C7" s="1">
        <v>3.87</v>
      </c>
      <c r="D7" s="1">
        <v>7</v>
      </c>
      <c r="E7" s="90">
        <v>4.342E-2</v>
      </c>
      <c r="F7" s="91">
        <f t="shared" si="0"/>
        <v>326</v>
      </c>
      <c r="G7" s="68">
        <f t="shared" si="1"/>
        <v>2282</v>
      </c>
      <c r="H7" s="68">
        <f t="shared" si="2"/>
        <v>1261.6200000000001</v>
      </c>
    </row>
    <row r="8" spans="2:8" x14ac:dyDescent="0.45">
      <c r="B8" s="88" t="s">
        <v>6</v>
      </c>
      <c r="C8" s="1">
        <v>2</v>
      </c>
      <c r="D8" s="1">
        <v>4</v>
      </c>
      <c r="E8" s="90">
        <v>4.4600000000000001E-2</v>
      </c>
      <c r="F8" s="91">
        <f t="shared" si="0"/>
        <v>335</v>
      </c>
      <c r="G8" s="68">
        <f t="shared" si="1"/>
        <v>1340</v>
      </c>
      <c r="H8" s="68">
        <f t="shared" si="2"/>
        <v>670</v>
      </c>
    </row>
    <row r="9" spans="2:8" x14ac:dyDescent="0.45">
      <c r="B9" s="88" t="s">
        <v>7</v>
      </c>
      <c r="C9" s="1">
        <v>5</v>
      </c>
      <c r="D9" s="1">
        <v>8</v>
      </c>
      <c r="E9" s="90">
        <v>1.9779999999999999E-2</v>
      </c>
      <c r="F9" s="91">
        <f t="shared" si="0"/>
        <v>148</v>
      </c>
      <c r="G9" s="68">
        <f t="shared" si="1"/>
        <v>1184</v>
      </c>
      <c r="H9" s="68">
        <f t="shared" si="2"/>
        <v>740</v>
      </c>
    </row>
    <row r="10" spans="2:8" x14ac:dyDescent="0.45">
      <c r="B10" s="88" t="s">
        <v>8</v>
      </c>
      <c r="C10" s="1">
        <v>5.5</v>
      </c>
      <c r="D10" s="1">
        <v>9</v>
      </c>
      <c r="E10" s="90">
        <v>0.04</v>
      </c>
      <c r="F10" s="91">
        <f t="shared" si="0"/>
        <v>301</v>
      </c>
      <c r="G10" s="68">
        <f t="shared" si="1"/>
        <v>2709</v>
      </c>
      <c r="H10" s="68">
        <f t="shared" si="2"/>
        <v>1655.5</v>
      </c>
    </row>
    <row r="11" spans="2:8" x14ac:dyDescent="0.45">
      <c r="B11" s="88" t="s">
        <v>162</v>
      </c>
      <c r="C11" s="1">
        <v>5.5</v>
      </c>
      <c r="D11" s="1">
        <v>9</v>
      </c>
      <c r="E11" s="90">
        <v>0.04</v>
      </c>
      <c r="F11" s="91">
        <f t="shared" si="0"/>
        <v>301</v>
      </c>
      <c r="G11" s="68">
        <f t="shared" ref="G11" si="3">D11*F11</f>
        <v>2709</v>
      </c>
      <c r="H11" s="68">
        <f t="shared" ref="H11" si="4">F11*C11</f>
        <v>1655.5</v>
      </c>
    </row>
    <row r="12" spans="2:8" x14ac:dyDescent="0.45">
      <c r="B12" s="88" t="s">
        <v>9</v>
      </c>
      <c r="C12" s="1">
        <v>5</v>
      </c>
      <c r="D12" s="1">
        <v>8</v>
      </c>
      <c r="E12" s="90">
        <v>0.18</v>
      </c>
      <c r="F12" s="91">
        <f t="shared" si="0"/>
        <v>1354</v>
      </c>
      <c r="G12" s="68">
        <f t="shared" si="1"/>
        <v>10832</v>
      </c>
      <c r="H12" s="68">
        <f t="shared" si="2"/>
        <v>6770</v>
      </c>
    </row>
    <row r="13" spans="2:8" x14ac:dyDescent="0.45">
      <c r="B13" s="88" t="s">
        <v>10</v>
      </c>
      <c r="C13" s="1">
        <v>7.78</v>
      </c>
      <c r="D13" s="1">
        <v>10</v>
      </c>
      <c r="E13" s="90">
        <v>0.03</v>
      </c>
      <c r="F13" s="91">
        <f t="shared" si="0"/>
        <v>225</v>
      </c>
      <c r="G13" s="68">
        <f t="shared" si="1"/>
        <v>2250</v>
      </c>
      <c r="H13" s="68">
        <f t="shared" si="2"/>
        <v>1750.5</v>
      </c>
    </row>
    <row r="14" spans="2:8" x14ac:dyDescent="0.45">
      <c r="B14" s="88" t="s">
        <v>11</v>
      </c>
      <c r="C14" s="1">
        <v>5</v>
      </c>
      <c r="D14" s="1">
        <v>8</v>
      </c>
      <c r="E14" s="90">
        <v>1.3520000000000001E-2</v>
      </c>
      <c r="F14" s="91">
        <f t="shared" si="0"/>
        <v>101</v>
      </c>
      <c r="G14" s="68">
        <f t="shared" si="1"/>
        <v>808</v>
      </c>
      <c r="H14" s="68">
        <f t="shared" si="2"/>
        <v>505</v>
      </c>
    </row>
    <row r="15" spans="2:8" x14ac:dyDescent="0.45">
      <c r="B15" s="88" t="s">
        <v>12</v>
      </c>
      <c r="C15" s="1">
        <v>7.5</v>
      </c>
      <c r="D15" s="1">
        <v>12</v>
      </c>
      <c r="E15" s="90">
        <v>0.01</v>
      </c>
      <c r="F15" s="91">
        <f t="shared" si="0"/>
        <v>75</v>
      </c>
      <c r="G15" s="68">
        <f t="shared" si="1"/>
        <v>900</v>
      </c>
      <c r="H15" s="68">
        <f t="shared" si="2"/>
        <v>562.5</v>
      </c>
    </row>
    <row r="16" spans="2:8" x14ac:dyDescent="0.45">
      <c r="B16" s="88" t="s">
        <v>13</v>
      </c>
      <c r="C16" s="1">
        <v>6.5</v>
      </c>
      <c r="D16" s="1">
        <v>9</v>
      </c>
      <c r="E16" s="90">
        <v>0.01</v>
      </c>
      <c r="F16" s="91">
        <f t="shared" si="0"/>
        <v>75</v>
      </c>
      <c r="G16" s="68">
        <f t="shared" si="1"/>
        <v>675</v>
      </c>
      <c r="H16" s="68">
        <f t="shared" si="2"/>
        <v>487.5</v>
      </c>
    </row>
    <row r="17" spans="2:8" x14ac:dyDescent="0.45">
      <c r="B17" s="88" t="s">
        <v>14</v>
      </c>
      <c r="C17" s="1">
        <v>7.75</v>
      </c>
      <c r="D17" s="1">
        <v>12</v>
      </c>
      <c r="E17" s="90">
        <v>0.01</v>
      </c>
      <c r="F17" s="91">
        <f t="shared" si="0"/>
        <v>75</v>
      </c>
      <c r="G17" s="68">
        <f t="shared" si="1"/>
        <v>900</v>
      </c>
      <c r="H17" s="68">
        <f t="shared" si="2"/>
        <v>581.25</v>
      </c>
    </row>
    <row r="18" spans="2:8" x14ac:dyDescent="0.45">
      <c r="B18" s="88" t="s">
        <v>15</v>
      </c>
      <c r="C18" s="1">
        <v>5</v>
      </c>
      <c r="D18" s="1">
        <v>8</v>
      </c>
      <c r="E18" s="90">
        <v>0.05</v>
      </c>
      <c r="F18" s="91">
        <f t="shared" si="0"/>
        <v>376</v>
      </c>
      <c r="G18" s="68">
        <f t="shared" si="1"/>
        <v>3008</v>
      </c>
      <c r="H18" s="68">
        <f t="shared" si="2"/>
        <v>1880</v>
      </c>
    </row>
    <row r="19" spans="2:8" x14ac:dyDescent="0.45">
      <c r="B19" s="88" t="s">
        <v>16</v>
      </c>
      <c r="C19" s="1">
        <v>5</v>
      </c>
      <c r="D19" s="1">
        <v>8</v>
      </c>
      <c r="E19" s="90">
        <v>0.04</v>
      </c>
      <c r="F19" s="91">
        <f t="shared" si="0"/>
        <v>301</v>
      </c>
      <c r="G19" s="68">
        <f t="shared" si="1"/>
        <v>2408</v>
      </c>
      <c r="H19" s="68">
        <f t="shared" si="2"/>
        <v>1505</v>
      </c>
    </row>
    <row r="20" spans="2:8" x14ac:dyDescent="0.45">
      <c r="B20" s="88" t="s">
        <v>17</v>
      </c>
      <c r="C20" s="1">
        <v>5</v>
      </c>
      <c r="D20" s="1">
        <v>8</v>
      </c>
      <c r="E20" s="90">
        <v>0.04</v>
      </c>
      <c r="F20" s="91">
        <f t="shared" si="0"/>
        <v>301</v>
      </c>
      <c r="G20" s="68">
        <f t="shared" si="1"/>
        <v>2408</v>
      </c>
      <c r="H20" s="68">
        <f t="shared" si="2"/>
        <v>1505</v>
      </c>
    </row>
    <row r="21" spans="2:8" x14ac:dyDescent="0.45">
      <c r="B21" s="91"/>
      <c r="C21" s="91"/>
      <c r="D21" s="91"/>
      <c r="E21" s="92">
        <f>SUM(E5:E20)</f>
        <v>1.0013200000000002</v>
      </c>
      <c r="F21" s="91">
        <v>7525</v>
      </c>
      <c r="G21" s="91">
        <f>SUM(G5:G20)</f>
        <v>53446</v>
      </c>
      <c r="H21" s="68">
        <f>SUM(H5:H20)</f>
        <v>31634.86</v>
      </c>
    </row>
  </sheetData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6D01F-DD09-4877-ADF9-5BFC2BDEADF1}">
  <dimension ref="C9:G15"/>
  <sheetViews>
    <sheetView workbookViewId="0">
      <selection activeCell="D20" sqref="D20"/>
    </sheetView>
  </sheetViews>
  <sheetFormatPr baseColWidth="10" defaultRowHeight="14.25" x14ac:dyDescent="0.45"/>
  <cols>
    <col min="2" max="2" width="5" customWidth="1"/>
    <col min="3" max="3" width="30.265625" customWidth="1"/>
    <col min="4" max="4" width="16.59765625" bestFit="1" customWidth="1"/>
    <col min="5" max="6" width="16.265625" bestFit="1" customWidth="1"/>
    <col min="7" max="7" width="19.59765625" bestFit="1" customWidth="1"/>
  </cols>
  <sheetData>
    <row r="9" spans="3:7" ht="15" x14ac:dyDescent="0.45">
      <c r="C9" s="64" t="s">
        <v>109</v>
      </c>
      <c r="D9" s="64" t="s">
        <v>110</v>
      </c>
      <c r="E9" s="64" t="s">
        <v>111</v>
      </c>
      <c r="F9" s="64" t="s">
        <v>112</v>
      </c>
      <c r="G9" s="64" t="s">
        <v>113</v>
      </c>
    </row>
    <row r="10" spans="3:7" ht="15.4" x14ac:dyDescent="0.45">
      <c r="C10" s="69" t="s">
        <v>114</v>
      </c>
      <c r="D10" s="66">
        <f>VENTAS!D20*2</f>
        <v>16</v>
      </c>
      <c r="E10" s="66">
        <v>14</v>
      </c>
      <c r="F10" s="66">
        <f>VENTAS!C20*2</f>
        <v>10</v>
      </c>
      <c r="G10" s="67">
        <f>E10-F10</f>
        <v>4</v>
      </c>
    </row>
    <row r="11" spans="3:7" ht="15.4" x14ac:dyDescent="0.45">
      <c r="C11" s="69" t="s">
        <v>115</v>
      </c>
      <c r="D11" s="66">
        <f>VENTAS!D18*2</f>
        <v>16</v>
      </c>
      <c r="E11" s="66">
        <v>14</v>
      </c>
      <c r="F11" s="66">
        <f>VENTAS!C18*2</f>
        <v>10</v>
      </c>
      <c r="G11" s="67">
        <f t="shared" ref="G11:G15" si="0">E11-F11</f>
        <v>4</v>
      </c>
    </row>
    <row r="12" spans="3:7" ht="15.4" x14ac:dyDescent="0.45">
      <c r="C12" s="69" t="s">
        <v>116</v>
      </c>
      <c r="D12" s="66">
        <f>VENTAS!D12*2</f>
        <v>16</v>
      </c>
      <c r="E12" s="66">
        <v>14</v>
      </c>
      <c r="F12" s="66">
        <f>VENTAS!C12*2</f>
        <v>10</v>
      </c>
      <c r="G12" s="67">
        <f t="shared" si="0"/>
        <v>4</v>
      </c>
    </row>
    <row r="13" spans="3:7" ht="15.4" x14ac:dyDescent="0.45">
      <c r="C13" s="69" t="s">
        <v>117</v>
      </c>
      <c r="D13" s="68">
        <f>VENTAS!D10*2</f>
        <v>18</v>
      </c>
      <c r="E13" s="68">
        <v>15</v>
      </c>
      <c r="F13" s="68">
        <f>VENTAS!C10*2</f>
        <v>11</v>
      </c>
      <c r="G13" s="67">
        <f t="shared" si="0"/>
        <v>4</v>
      </c>
    </row>
    <row r="14" spans="3:7" ht="15.4" x14ac:dyDescent="0.45">
      <c r="C14" s="69" t="s">
        <v>118</v>
      </c>
      <c r="D14" s="68">
        <f>D13</f>
        <v>18</v>
      </c>
      <c r="E14" s="68">
        <v>15</v>
      </c>
      <c r="F14" s="68">
        <f>F13</f>
        <v>11</v>
      </c>
      <c r="G14" s="67">
        <f t="shared" si="0"/>
        <v>4</v>
      </c>
    </row>
    <row r="15" spans="3:7" ht="15.4" x14ac:dyDescent="0.45">
      <c r="C15" s="65" t="s">
        <v>119</v>
      </c>
      <c r="D15" s="68">
        <f>VENTAS!D5*2</f>
        <v>8</v>
      </c>
      <c r="E15" s="68">
        <v>6</v>
      </c>
      <c r="F15" s="68">
        <f>VENTAS!C5*2</f>
        <v>4</v>
      </c>
      <c r="G15" s="67">
        <f t="shared" si="0"/>
        <v>2</v>
      </c>
    </row>
  </sheetData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FBC89-3047-4784-A305-F0C73AA98C81}">
  <dimension ref="B2:H8"/>
  <sheetViews>
    <sheetView workbookViewId="0">
      <selection activeCell="C25" sqref="C25"/>
    </sheetView>
  </sheetViews>
  <sheetFormatPr baseColWidth="10" defaultRowHeight="14.25" x14ac:dyDescent="0.45"/>
  <cols>
    <col min="3" max="3" width="46" bestFit="1" customWidth="1"/>
    <col min="4" max="4" width="13.59765625" bestFit="1" customWidth="1"/>
    <col min="5" max="5" width="14.3984375" bestFit="1" customWidth="1"/>
    <col min="6" max="6" width="11.73046875" bestFit="1" customWidth="1"/>
  </cols>
  <sheetData>
    <row r="2" spans="2:8" ht="14.65" thickBot="1" x14ac:dyDescent="0.5"/>
    <row r="3" spans="2:8" ht="15.4" thickBot="1" x14ac:dyDescent="0.5">
      <c r="B3" s="70" t="s">
        <v>120</v>
      </c>
      <c r="C3" s="71" t="s">
        <v>121</v>
      </c>
      <c r="D3" s="71" t="s">
        <v>122</v>
      </c>
      <c r="E3" s="71" t="s">
        <v>123</v>
      </c>
      <c r="F3" s="71" t="s">
        <v>134</v>
      </c>
    </row>
    <row r="4" spans="2:8" ht="15.75" thickBot="1" x14ac:dyDescent="0.5">
      <c r="B4" s="72" t="s">
        <v>124</v>
      </c>
      <c r="C4" s="73" t="s">
        <v>125</v>
      </c>
      <c r="D4" s="74" t="s">
        <v>126</v>
      </c>
      <c r="E4" s="63">
        <v>0</v>
      </c>
      <c r="F4" s="63">
        <v>0</v>
      </c>
    </row>
    <row r="5" spans="2:8" ht="15.75" thickBot="1" x14ac:dyDescent="0.5">
      <c r="B5" s="72" t="s">
        <v>127</v>
      </c>
      <c r="C5" s="73" t="s">
        <v>128</v>
      </c>
      <c r="D5" s="74" t="s">
        <v>126</v>
      </c>
      <c r="E5" s="63">
        <v>0</v>
      </c>
      <c r="F5" s="63">
        <v>0</v>
      </c>
    </row>
    <row r="6" spans="2:8" ht="15.75" thickBot="1" x14ac:dyDescent="0.5">
      <c r="B6" s="72" t="s">
        <v>129</v>
      </c>
      <c r="C6" s="73" t="s">
        <v>132</v>
      </c>
      <c r="D6" s="74" t="s">
        <v>126</v>
      </c>
      <c r="E6" s="63">
        <v>0</v>
      </c>
      <c r="F6" s="63">
        <v>0</v>
      </c>
    </row>
    <row r="7" spans="2:8" ht="15.75" thickBot="1" x14ac:dyDescent="0.5">
      <c r="B7" s="72" t="s">
        <v>130</v>
      </c>
      <c r="C7" s="73" t="s">
        <v>133</v>
      </c>
      <c r="D7" s="74" t="s">
        <v>131</v>
      </c>
      <c r="E7" s="63">
        <v>25</v>
      </c>
      <c r="F7" s="63">
        <v>300</v>
      </c>
      <c r="H7">
        <f>25*12</f>
        <v>300</v>
      </c>
    </row>
    <row r="8" spans="2:8" ht="15.4" thickBot="1" x14ac:dyDescent="0.5">
      <c r="B8" s="120" t="s">
        <v>46</v>
      </c>
      <c r="C8" s="121"/>
      <c r="D8" s="121"/>
      <c r="E8" s="122"/>
      <c r="F8" s="75">
        <f>SUM(F4:F7)</f>
        <v>300</v>
      </c>
    </row>
  </sheetData>
  <mergeCells count="1">
    <mergeCell ref="B8:E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042FC-5933-421E-A59B-4AFD3543C479}">
  <dimension ref="A3:AW36"/>
  <sheetViews>
    <sheetView zoomScaleNormal="100" workbookViewId="0">
      <selection activeCell="D5" sqref="D5"/>
    </sheetView>
  </sheetViews>
  <sheetFormatPr baseColWidth="10" defaultRowHeight="14.25" x14ac:dyDescent="0.45"/>
  <cols>
    <col min="3" max="3" width="23.1328125" customWidth="1"/>
    <col min="4" max="4" width="21.86328125" customWidth="1"/>
    <col min="6" max="6" width="14.86328125" customWidth="1"/>
    <col min="7" max="7" width="13.59765625" customWidth="1"/>
    <col min="8" max="8" width="17.73046875" bestFit="1" customWidth="1"/>
    <col min="9" max="9" width="20.73046875" customWidth="1"/>
    <col min="13" max="13" width="23.3984375" customWidth="1"/>
    <col min="14" max="14" width="22.265625" customWidth="1"/>
    <col min="16" max="16" width="14.59765625" customWidth="1"/>
    <col min="17" max="17" width="14.1328125" customWidth="1"/>
    <col min="18" max="18" width="21.86328125" customWidth="1"/>
    <col min="19" max="19" width="18.3984375" customWidth="1"/>
    <col min="23" max="23" width="22.86328125" customWidth="1"/>
    <col min="24" max="24" width="22.265625" customWidth="1"/>
    <col min="26" max="26" width="15.1328125" customWidth="1"/>
    <col min="27" max="27" width="14.86328125" customWidth="1"/>
    <col min="28" max="28" width="20.59765625" customWidth="1"/>
    <col min="29" max="29" width="17.59765625" customWidth="1"/>
    <col min="33" max="33" width="23.265625" customWidth="1"/>
    <col min="34" max="34" width="22.73046875" customWidth="1"/>
    <col min="36" max="36" width="16" customWidth="1"/>
    <col min="37" max="37" width="14.73046875" customWidth="1"/>
    <col min="38" max="38" width="20" customWidth="1"/>
    <col min="39" max="39" width="17.73046875" customWidth="1"/>
    <col min="43" max="44" width="23.1328125" customWidth="1"/>
    <col min="46" max="46" width="16.73046875" customWidth="1"/>
    <col min="47" max="47" width="14.1328125" customWidth="1"/>
    <col min="48" max="48" width="21.1328125" customWidth="1"/>
    <col min="49" max="49" width="17" customWidth="1"/>
  </cols>
  <sheetData>
    <row r="3" spans="1:49" x14ac:dyDescent="0.45">
      <c r="K3" s="124" t="s">
        <v>168</v>
      </c>
      <c r="L3" s="124"/>
      <c r="M3" s="124"/>
      <c r="N3" s="124"/>
      <c r="O3" s="124"/>
      <c r="P3" s="124"/>
      <c r="Q3" s="124"/>
      <c r="R3" s="124"/>
      <c r="S3" s="124"/>
      <c r="U3" s="125" t="s">
        <v>169</v>
      </c>
      <c r="V3" s="126"/>
      <c r="W3" s="126"/>
      <c r="X3" s="126"/>
      <c r="Y3" s="126"/>
      <c r="Z3" s="126"/>
      <c r="AA3" s="126"/>
      <c r="AB3" s="126"/>
      <c r="AC3" s="127"/>
      <c r="AE3" s="125" t="s">
        <v>168</v>
      </c>
      <c r="AF3" s="126"/>
      <c r="AG3" s="126"/>
      <c r="AH3" s="126"/>
      <c r="AI3" s="126"/>
      <c r="AJ3" s="126"/>
      <c r="AK3" s="126"/>
      <c r="AL3" s="126"/>
      <c r="AM3" s="127"/>
      <c r="AO3" s="125" t="s">
        <v>168</v>
      </c>
      <c r="AP3" s="126"/>
      <c r="AQ3" s="126"/>
      <c r="AR3" s="126"/>
      <c r="AS3" s="126"/>
      <c r="AT3" s="126"/>
      <c r="AU3" s="126"/>
      <c r="AV3" s="126"/>
      <c r="AW3" s="127"/>
    </row>
    <row r="4" spans="1:49" x14ac:dyDescent="0.45">
      <c r="A4" s="123" t="s">
        <v>170</v>
      </c>
      <c r="B4" s="123"/>
      <c r="C4" s="123"/>
      <c r="D4" s="123"/>
      <c r="E4" s="123"/>
      <c r="F4" s="123"/>
      <c r="G4" s="123"/>
      <c r="H4" s="123"/>
      <c r="I4" s="123"/>
      <c r="K4" s="91" t="s">
        <v>171</v>
      </c>
      <c r="L4" s="91" t="s">
        <v>67</v>
      </c>
      <c r="M4" s="91" t="s">
        <v>172</v>
      </c>
      <c r="N4" s="91" t="s">
        <v>173</v>
      </c>
      <c r="O4" s="91" t="s">
        <v>67</v>
      </c>
      <c r="P4" s="91" t="s">
        <v>68</v>
      </c>
      <c r="Q4" s="91" t="s">
        <v>69</v>
      </c>
      <c r="R4" s="91" t="s">
        <v>70</v>
      </c>
      <c r="S4" s="91" t="s">
        <v>174</v>
      </c>
      <c r="U4" s="113" t="s">
        <v>171</v>
      </c>
      <c r="V4" s="113" t="s">
        <v>67</v>
      </c>
      <c r="W4" s="113" t="s">
        <v>172</v>
      </c>
      <c r="X4" s="113" t="s">
        <v>173</v>
      </c>
      <c r="Y4" s="113" t="s">
        <v>67</v>
      </c>
      <c r="Z4" s="113" t="s">
        <v>68</v>
      </c>
      <c r="AA4" s="113" t="s">
        <v>69</v>
      </c>
      <c r="AB4" s="114" t="s">
        <v>70</v>
      </c>
      <c r="AC4" s="91" t="s">
        <v>175</v>
      </c>
      <c r="AE4" s="113" t="s">
        <v>171</v>
      </c>
      <c r="AF4" s="113" t="s">
        <v>67</v>
      </c>
      <c r="AG4" s="113" t="s">
        <v>172</v>
      </c>
      <c r="AH4" s="113" t="s">
        <v>173</v>
      </c>
      <c r="AI4" s="113" t="s">
        <v>67</v>
      </c>
      <c r="AJ4" s="113" t="s">
        <v>68</v>
      </c>
      <c r="AK4" s="113" t="s">
        <v>69</v>
      </c>
      <c r="AL4" s="114" t="s">
        <v>70</v>
      </c>
      <c r="AM4" s="91" t="s">
        <v>175</v>
      </c>
      <c r="AO4" s="113" t="s">
        <v>171</v>
      </c>
      <c r="AP4" s="113" t="s">
        <v>67</v>
      </c>
      <c r="AQ4" s="113" t="s">
        <v>172</v>
      </c>
      <c r="AR4" s="113" t="s">
        <v>173</v>
      </c>
      <c r="AS4" s="113" t="s">
        <v>67</v>
      </c>
      <c r="AT4" s="113" t="s">
        <v>68</v>
      </c>
      <c r="AU4" s="113" t="s">
        <v>69</v>
      </c>
      <c r="AV4" s="114" t="s">
        <v>70</v>
      </c>
      <c r="AW4" s="91" t="s">
        <v>175</v>
      </c>
    </row>
    <row r="5" spans="1:49" x14ac:dyDescent="0.45">
      <c r="A5" s="113" t="s">
        <v>171</v>
      </c>
      <c r="B5" s="113" t="s">
        <v>67</v>
      </c>
      <c r="C5" s="113" t="s">
        <v>172</v>
      </c>
      <c r="D5" s="113" t="s">
        <v>173</v>
      </c>
      <c r="E5" s="113" t="s">
        <v>67</v>
      </c>
      <c r="F5" s="113" t="s">
        <v>68</v>
      </c>
      <c r="G5" s="113" t="s">
        <v>69</v>
      </c>
      <c r="H5" s="113" t="s">
        <v>181</v>
      </c>
      <c r="I5" s="114" t="s">
        <v>70</v>
      </c>
      <c r="K5" s="114" t="s">
        <v>176</v>
      </c>
      <c r="L5" s="114">
        <v>531.25</v>
      </c>
      <c r="M5" s="114">
        <f>L5*11.15%</f>
        <v>59.234375</v>
      </c>
      <c r="N5" s="114">
        <f>L5*9.45%</f>
        <v>50.203124999999993</v>
      </c>
      <c r="O5" s="114">
        <f>L5+M5</f>
        <v>590.484375</v>
      </c>
      <c r="P5" s="114">
        <v>0</v>
      </c>
      <c r="Q5" s="114">
        <v>0</v>
      </c>
      <c r="R5" s="114">
        <f>O5+P5+Q5</f>
        <v>590.484375</v>
      </c>
      <c r="S5" s="114">
        <f>L5/12</f>
        <v>44.270833333333336</v>
      </c>
      <c r="U5" s="114" t="s">
        <v>176</v>
      </c>
      <c r="V5" s="114"/>
      <c r="W5" s="114"/>
      <c r="X5" s="114"/>
      <c r="Y5" s="114"/>
      <c r="Z5" s="114"/>
      <c r="AA5" s="114"/>
      <c r="AB5" s="114"/>
      <c r="AC5" s="91"/>
      <c r="AE5" s="114" t="s">
        <v>176</v>
      </c>
      <c r="AF5" s="114"/>
      <c r="AG5" s="114"/>
      <c r="AH5" s="114"/>
      <c r="AI5" s="114"/>
      <c r="AJ5" s="114"/>
      <c r="AK5" s="114"/>
      <c r="AL5" s="114"/>
      <c r="AM5" s="91"/>
      <c r="AO5" s="114" t="s">
        <v>176</v>
      </c>
      <c r="AP5" s="114"/>
      <c r="AQ5" s="114"/>
      <c r="AR5" s="114"/>
      <c r="AS5" s="114"/>
      <c r="AT5" s="114"/>
      <c r="AU5" s="114"/>
      <c r="AV5" s="114"/>
      <c r="AW5" s="91"/>
    </row>
    <row r="6" spans="1:49" x14ac:dyDescent="0.45">
      <c r="A6" s="114" t="s">
        <v>176</v>
      </c>
      <c r="B6" s="114">
        <v>500</v>
      </c>
      <c r="C6" s="114">
        <f>B6*11.15%</f>
        <v>55.75</v>
      </c>
      <c r="D6" s="114">
        <f>B6*9.45%</f>
        <v>47.249999999999993</v>
      </c>
      <c r="E6" s="114">
        <f>B6+C6</f>
        <v>555.75</v>
      </c>
      <c r="F6" s="114">
        <v>0</v>
      </c>
      <c r="G6" s="114">
        <v>0</v>
      </c>
      <c r="H6" s="114">
        <f>B6/12</f>
        <v>41.666666666666664</v>
      </c>
      <c r="I6" s="114">
        <f>E6+F6+G6+H6</f>
        <v>597.41666666666663</v>
      </c>
      <c r="K6" s="114" t="s">
        <v>151</v>
      </c>
      <c r="L6" s="114">
        <v>531.25</v>
      </c>
      <c r="M6" s="114">
        <f t="shared" ref="M6:M16" si="0">L6*11.15%</f>
        <v>59.234375</v>
      </c>
      <c r="N6" s="114">
        <f t="shared" ref="N6:N16" si="1">L6*9.45%</f>
        <v>50.203124999999993</v>
      </c>
      <c r="O6" s="114">
        <f t="shared" ref="O6:O16" si="2">L6+M6</f>
        <v>590.484375</v>
      </c>
      <c r="P6" s="114">
        <v>0</v>
      </c>
      <c r="Q6" s="114">
        <v>0</v>
      </c>
      <c r="R6" s="114">
        <f t="shared" ref="R6:R16" si="3">O6+P6+Q6</f>
        <v>590.484375</v>
      </c>
      <c r="S6" s="114">
        <f t="shared" ref="S6:S16" si="4">L6/12</f>
        <v>44.270833333333336</v>
      </c>
      <c r="U6" s="114" t="s">
        <v>151</v>
      </c>
      <c r="V6" s="114"/>
      <c r="W6" s="114"/>
      <c r="X6" s="114"/>
      <c r="Y6" s="114"/>
      <c r="Z6" s="114"/>
      <c r="AA6" s="114"/>
      <c r="AB6" s="114"/>
      <c r="AC6" s="91"/>
      <c r="AE6" s="114" t="s">
        <v>151</v>
      </c>
      <c r="AF6" s="114"/>
      <c r="AG6" s="114"/>
      <c r="AH6" s="114"/>
      <c r="AI6" s="114"/>
      <c r="AJ6" s="114"/>
      <c r="AK6" s="114"/>
      <c r="AL6" s="114"/>
      <c r="AM6" s="91"/>
      <c r="AO6" s="114" t="s">
        <v>151</v>
      </c>
      <c r="AP6" s="114"/>
      <c r="AQ6" s="114"/>
      <c r="AR6" s="114"/>
      <c r="AS6" s="114"/>
      <c r="AT6" s="114"/>
      <c r="AU6" s="114"/>
      <c r="AV6" s="114"/>
      <c r="AW6" s="91"/>
    </row>
    <row r="7" spans="1:49" x14ac:dyDescent="0.45">
      <c r="A7" s="114" t="s">
        <v>151</v>
      </c>
      <c r="B7" s="114">
        <v>500</v>
      </c>
      <c r="C7" s="114">
        <f t="shared" ref="C7:C17" si="5">B7*11.15%</f>
        <v>55.75</v>
      </c>
      <c r="D7" s="114">
        <f t="shared" ref="D7:D17" si="6">B7*9.45%</f>
        <v>47.249999999999993</v>
      </c>
      <c r="E7" s="114">
        <f t="shared" ref="E7:E17" si="7">B7+C7</f>
        <v>555.75</v>
      </c>
      <c r="F7" s="114">
        <v>0</v>
      </c>
      <c r="G7" s="114">
        <v>0</v>
      </c>
      <c r="H7" s="114">
        <f t="shared" ref="H7:H17" si="8">B7/12</f>
        <v>41.666666666666664</v>
      </c>
      <c r="I7" s="114">
        <f t="shared" ref="I7:I17" si="9">E7+F7+G7+H7</f>
        <v>597.41666666666663</v>
      </c>
      <c r="K7" s="114" t="s">
        <v>152</v>
      </c>
      <c r="L7" s="114">
        <v>531.25</v>
      </c>
      <c r="M7" s="114">
        <f t="shared" si="0"/>
        <v>59.234375</v>
      </c>
      <c r="N7" s="114">
        <f t="shared" si="1"/>
        <v>50.203124999999993</v>
      </c>
      <c r="O7" s="114">
        <f t="shared" si="2"/>
        <v>590.484375</v>
      </c>
      <c r="P7" s="114">
        <v>0</v>
      </c>
      <c r="Q7" s="114">
        <v>0</v>
      </c>
      <c r="R7" s="114">
        <f t="shared" si="3"/>
        <v>590.484375</v>
      </c>
      <c r="S7" s="114">
        <f t="shared" si="4"/>
        <v>44.270833333333336</v>
      </c>
      <c r="U7" s="114" t="s">
        <v>152</v>
      </c>
      <c r="V7" s="114"/>
      <c r="W7" s="114"/>
      <c r="X7" s="114"/>
      <c r="Y7" s="114"/>
      <c r="Z7" s="114"/>
      <c r="AA7" s="114"/>
      <c r="AB7" s="114"/>
      <c r="AC7" s="91"/>
      <c r="AE7" s="114" t="s">
        <v>152</v>
      </c>
      <c r="AF7" s="114"/>
      <c r="AG7" s="114"/>
      <c r="AH7" s="114"/>
      <c r="AI7" s="114"/>
      <c r="AJ7" s="114"/>
      <c r="AK7" s="114"/>
      <c r="AL7" s="114"/>
      <c r="AM7" s="91"/>
      <c r="AO7" s="114" t="s">
        <v>152</v>
      </c>
      <c r="AP7" s="114"/>
      <c r="AQ7" s="114"/>
      <c r="AR7" s="114"/>
      <c r="AS7" s="114"/>
      <c r="AT7" s="114"/>
      <c r="AU7" s="114"/>
      <c r="AV7" s="114"/>
      <c r="AW7" s="91"/>
    </row>
    <row r="8" spans="1:49" x14ac:dyDescent="0.45">
      <c r="A8" s="114" t="s">
        <v>152</v>
      </c>
      <c r="B8" s="114">
        <v>500</v>
      </c>
      <c r="C8" s="114">
        <f t="shared" si="5"/>
        <v>55.75</v>
      </c>
      <c r="D8" s="114">
        <f t="shared" si="6"/>
        <v>47.249999999999993</v>
      </c>
      <c r="E8" s="114">
        <f t="shared" si="7"/>
        <v>555.75</v>
      </c>
      <c r="F8" s="114">
        <v>0</v>
      </c>
      <c r="G8" s="114">
        <v>0</v>
      </c>
      <c r="H8" s="114">
        <f t="shared" si="8"/>
        <v>41.666666666666664</v>
      </c>
      <c r="I8" s="114">
        <f t="shared" si="9"/>
        <v>597.41666666666663</v>
      </c>
      <c r="K8" s="114" t="s">
        <v>153</v>
      </c>
      <c r="L8" s="114">
        <v>531.25</v>
      </c>
      <c r="M8" s="114">
        <f t="shared" si="0"/>
        <v>59.234375</v>
      </c>
      <c r="N8" s="114">
        <f t="shared" si="1"/>
        <v>50.203124999999993</v>
      </c>
      <c r="O8" s="114">
        <f t="shared" si="2"/>
        <v>590.484375</v>
      </c>
      <c r="P8" s="114">
        <v>0</v>
      </c>
      <c r="Q8" s="114">
        <v>0</v>
      </c>
      <c r="R8" s="114">
        <f t="shared" si="3"/>
        <v>590.484375</v>
      </c>
      <c r="S8" s="114">
        <f t="shared" si="4"/>
        <v>44.270833333333336</v>
      </c>
      <c r="U8" s="114" t="s">
        <v>153</v>
      </c>
      <c r="V8" s="114"/>
      <c r="W8" s="114"/>
      <c r="X8" s="114"/>
      <c r="Y8" s="114"/>
      <c r="Z8" s="114"/>
      <c r="AA8" s="114"/>
      <c r="AB8" s="114"/>
      <c r="AC8" s="91"/>
      <c r="AE8" s="114" t="s">
        <v>153</v>
      </c>
      <c r="AF8" s="114"/>
      <c r="AG8" s="114"/>
      <c r="AH8" s="114"/>
      <c r="AI8" s="114"/>
      <c r="AJ8" s="114"/>
      <c r="AK8" s="114"/>
      <c r="AL8" s="114"/>
      <c r="AM8" s="91"/>
      <c r="AO8" s="114" t="s">
        <v>153</v>
      </c>
      <c r="AP8" s="114"/>
      <c r="AQ8" s="114"/>
      <c r="AR8" s="114"/>
      <c r="AS8" s="114"/>
      <c r="AT8" s="114"/>
      <c r="AU8" s="114"/>
      <c r="AV8" s="114"/>
      <c r="AW8" s="91"/>
    </row>
    <row r="9" spans="1:49" x14ac:dyDescent="0.45">
      <c r="A9" s="114" t="s">
        <v>153</v>
      </c>
      <c r="B9" s="114">
        <v>500</v>
      </c>
      <c r="C9" s="114">
        <f t="shared" si="5"/>
        <v>55.75</v>
      </c>
      <c r="D9" s="114">
        <f t="shared" si="6"/>
        <v>47.249999999999993</v>
      </c>
      <c r="E9" s="114">
        <f t="shared" si="7"/>
        <v>555.75</v>
      </c>
      <c r="F9" s="114">
        <v>0</v>
      </c>
      <c r="G9" s="114">
        <v>0</v>
      </c>
      <c r="H9" s="114">
        <f t="shared" si="8"/>
        <v>41.666666666666664</v>
      </c>
      <c r="I9" s="114">
        <f t="shared" si="9"/>
        <v>597.41666666666663</v>
      </c>
      <c r="K9" s="114" t="s">
        <v>154</v>
      </c>
      <c r="L9" s="114">
        <v>531.25</v>
      </c>
      <c r="M9" s="114">
        <f t="shared" si="0"/>
        <v>59.234375</v>
      </c>
      <c r="N9" s="114">
        <f t="shared" si="1"/>
        <v>50.203124999999993</v>
      </c>
      <c r="O9" s="114">
        <f t="shared" si="2"/>
        <v>590.484375</v>
      </c>
      <c r="P9" s="114">
        <v>0</v>
      </c>
      <c r="Q9" s="114">
        <v>0</v>
      </c>
      <c r="R9" s="114">
        <f t="shared" si="3"/>
        <v>590.484375</v>
      </c>
      <c r="S9" s="114">
        <f t="shared" si="4"/>
        <v>44.270833333333336</v>
      </c>
      <c r="U9" s="114" t="s">
        <v>154</v>
      </c>
      <c r="V9" s="114"/>
      <c r="W9" s="114"/>
      <c r="X9" s="114"/>
      <c r="Y9" s="114"/>
      <c r="Z9" s="114"/>
      <c r="AA9" s="114"/>
      <c r="AB9" s="114"/>
      <c r="AC9" s="91"/>
      <c r="AE9" s="114" t="s">
        <v>154</v>
      </c>
      <c r="AF9" s="114"/>
      <c r="AG9" s="114"/>
      <c r="AH9" s="114"/>
      <c r="AI9" s="114"/>
      <c r="AJ9" s="114"/>
      <c r="AK9" s="114"/>
      <c r="AL9" s="114"/>
      <c r="AM9" s="91"/>
      <c r="AO9" s="114" t="s">
        <v>154</v>
      </c>
      <c r="AP9" s="114"/>
      <c r="AQ9" s="114"/>
      <c r="AR9" s="114"/>
      <c r="AS9" s="114"/>
      <c r="AT9" s="114"/>
      <c r="AU9" s="114"/>
      <c r="AV9" s="114"/>
      <c r="AW9" s="91"/>
    </row>
    <row r="10" spans="1:49" x14ac:dyDescent="0.45">
      <c r="A10" s="114" t="s">
        <v>154</v>
      </c>
      <c r="B10" s="114">
        <v>500</v>
      </c>
      <c r="C10" s="114">
        <f t="shared" si="5"/>
        <v>55.75</v>
      </c>
      <c r="D10" s="114">
        <f t="shared" si="6"/>
        <v>47.249999999999993</v>
      </c>
      <c r="E10" s="114">
        <f t="shared" si="7"/>
        <v>555.75</v>
      </c>
      <c r="F10" s="114">
        <v>0</v>
      </c>
      <c r="G10" s="114">
        <v>0</v>
      </c>
      <c r="H10" s="114">
        <f t="shared" si="8"/>
        <v>41.666666666666664</v>
      </c>
      <c r="I10" s="114">
        <f t="shared" si="9"/>
        <v>597.41666666666663</v>
      </c>
      <c r="K10" s="114" t="s">
        <v>155</v>
      </c>
      <c r="L10" s="114">
        <v>531.25</v>
      </c>
      <c r="M10" s="114">
        <f t="shared" si="0"/>
        <v>59.234375</v>
      </c>
      <c r="N10" s="114">
        <f t="shared" si="1"/>
        <v>50.203124999999993</v>
      </c>
      <c r="O10" s="114">
        <f t="shared" si="2"/>
        <v>590.484375</v>
      </c>
      <c r="P10" s="114">
        <v>0</v>
      </c>
      <c r="Q10" s="114">
        <v>0</v>
      </c>
      <c r="R10" s="114">
        <f t="shared" si="3"/>
        <v>590.484375</v>
      </c>
      <c r="S10" s="114">
        <f t="shared" si="4"/>
        <v>44.270833333333336</v>
      </c>
      <c r="U10" s="114" t="s">
        <v>155</v>
      </c>
      <c r="V10" s="114"/>
      <c r="W10" s="114"/>
      <c r="X10" s="114"/>
      <c r="Y10" s="114"/>
      <c r="Z10" s="114"/>
      <c r="AA10" s="114"/>
      <c r="AB10" s="114"/>
      <c r="AC10" s="91"/>
      <c r="AE10" s="114" t="s">
        <v>155</v>
      </c>
      <c r="AF10" s="114"/>
      <c r="AG10" s="114"/>
      <c r="AH10" s="114"/>
      <c r="AI10" s="114"/>
      <c r="AJ10" s="114"/>
      <c r="AK10" s="114"/>
      <c r="AL10" s="114"/>
      <c r="AM10" s="91"/>
      <c r="AO10" s="114" t="s">
        <v>155</v>
      </c>
      <c r="AP10" s="114"/>
      <c r="AQ10" s="114"/>
      <c r="AR10" s="114"/>
      <c r="AS10" s="114"/>
      <c r="AT10" s="114"/>
      <c r="AU10" s="114"/>
      <c r="AV10" s="114"/>
      <c r="AW10" s="91"/>
    </row>
    <row r="11" spans="1:49" x14ac:dyDescent="0.45">
      <c r="A11" s="114" t="s">
        <v>155</v>
      </c>
      <c r="B11" s="114">
        <v>500</v>
      </c>
      <c r="C11" s="114">
        <f t="shared" si="5"/>
        <v>55.75</v>
      </c>
      <c r="D11" s="114">
        <f t="shared" si="6"/>
        <v>47.249999999999993</v>
      </c>
      <c r="E11" s="114">
        <f t="shared" si="7"/>
        <v>555.75</v>
      </c>
      <c r="F11" s="114">
        <v>0</v>
      </c>
      <c r="G11" s="114">
        <v>0</v>
      </c>
      <c r="H11" s="114">
        <f t="shared" si="8"/>
        <v>41.666666666666664</v>
      </c>
      <c r="I11" s="114">
        <f t="shared" si="9"/>
        <v>597.41666666666663</v>
      </c>
      <c r="K11" s="114" t="s">
        <v>156</v>
      </c>
      <c r="L11" s="114">
        <v>531.25</v>
      </c>
      <c r="M11" s="114">
        <f t="shared" si="0"/>
        <v>59.234375</v>
      </c>
      <c r="N11" s="114">
        <f t="shared" si="1"/>
        <v>50.203124999999993</v>
      </c>
      <c r="O11" s="114">
        <f t="shared" si="2"/>
        <v>590.484375</v>
      </c>
      <c r="P11" s="114">
        <v>0</v>
      </c>
      <c r="Q11" s="114">
        <v>0</v>
      </c>
      <c r="R11" s="114">
        <f t="shared" si="3"/>
        <v>590.484375</v>
      </c>
      <c r="S11" s="114">
        <f t="shared" si="4"/>
        <v>44.270833333333336</v>
      </c>
      <c r="U11" s="114" t="s">
        <v>156</v>
      </c>
      <c r="V11" s="114"/>
      <c r="W11" s="114"/>
      <c r="X11" s="114"/>
      <c r="Y11" s="114"/>
      <c r="Z11" s="114"/>
      <c r="AA11" s="114"/>
      <c r="AB11" s="114"/>
      <c r="AC11" s="91"/>
      <c r="AE11" s="114" t="s">
        <v>156</v>
      </c>
      <c r="AF11" s="114"/>
      <c r="AG11" s="114"/>
      <c r="AH11" s="114"/>
      <c r="AI11" s="114"/>
      <c r="AJ11" s="114"/>
      <c r="AK11" s="114"/>
      <c r="AL11" s="114"/>
      <c r="AM11" s="91"/>
      <c r="AO11" s="114" t="s">
        <v>156</v>
      </c>
      <c r="AP11" s="114"/>
      <c r="AQ11" s="114"/>
      <c r="AR11" s="114"/>
      <c r="AS11" s="114"/>
      <c r="AT11" s="114"/>
      <c r="AU11" s="114"/>
      <c r="AV11" s="114"/>
      <c r="AW11" s="91"/>
    </row>
    <row r="12" spans="1:49" x14ac:dyDescent="0.45">
      <c r="A12" s="114" t="s">
        <v>156</v>
      </c>
      <c r="B12" s="114">
        <v>500</v>
      </c>
      <c r="C12" s="114">
        <f t="shared" si="5"/>
        <v>55.75</v>
      </c>
      <c r="D12" s="114">
        <f t="shared" si="6"/>
        <v>47.249999999999993</v>
      </c>
      <c r="E12" s="114">
        <f t="shared" si="7"/>
        <v>555.75</v>
      </c>
      <c r="F12" s="114">
        <v>0</v>
      </c>
      <c r="G12" s="114">
        <v>0</v>
      </c>
      <c r="H12" s="114">
        <f t="shared" si="8"/>
        <v>41.666666666666664</v>
      </c>
      <c r="I12" s="114">
        <f t="shared" si="9"/>
        <v>597.41666666666663</v>
      </c>
      <c r="K12" s="114" t="s">
        <v>157</v>
      </c>
      <c r="L12" s="114">
        <v>531.25</v>
      </c>
      <c r="M12" s="114">
        <f t="shared" si="0"/>
        <v>59.234375</v>
      </c>
      <c r="N12" s="114">
        <f t="shared" si="1"/>
        <v>50.203124999999993</v>
      </c>
      <c r="O12" s="114">
        <f t="shared" si="2"/>
        <v>590.484375</v>
      </c>
      <c r="P12" s="114">
        <v>0</v>
      </c>
      <c r="Q12" s="114">
        <v>425</v>
      </c>
      <c r="R12" s="114">
        <f t="shared" si="3"/>
        <v>1015.484375</v>
      </c>
      <c r="S12" s="114">
        <f t="shared" si="4"/>
        <v>44.270833333333336</v>
      </c>
      <c r="U12" s="114" t="s">
        <v>157</v>
      </c>
      <c r="V12" s="114"/>
      <c r="W12" s="114"/>
      <c r="X12" s="114"/>
      <c r="Y12" s="114"/>
      <c r="Z12" s="114"/>
      <c r="AA12" s="114"/>
      <c r="AB12" s="114"/>
      <c r="AC12" s="91"/>
      <c r="AE12" s="114" t="s">
        <v>157</v>
      </c>
      <c r="AF12" s="114"/>
      <c r="AG12" s="114"/>
      <c r="AH12" s="114"/>
      <c r="AI12" s="114"/>
      <c r="AJ12" s="114"/>
      <c r="AK12" s="114"/>
      <c r="AL12" s="114"/>
      <c r="AM12" s="91"/>
      <c r="AO12" s="114" t="s">
        <v>157</v>
      </c>
      <c r="AP12" s="114"/>
      <c r="AQ12" s="114"/>
      <c r="AR12" s="114"/>
      <c r="AS12" s="114"/>
      <c r="AT12" s="114"/>
      <c r="AU12" s="114"/>
      <c r="AV12" s="114"/>
      <c r="AW12" s="91"/>
    </row>
    <row r="13" spans="1:49" x14ac:dyDescent="0.45">
      <c r="A13" s="114" t="s">
        <v>157</v>
      </c>
      <c r="B13" s="114">
        <v>500</v>
      </c>
      <c r="C13" s="114">
        <f t="shared" si="5"/>
        <v>55.75</v>
      </c>
      <c r="D13" s="114">
        <f t="shared" si="6"/>
        <v>47.249999999999993</v>
      </c>
      <c r="E13" s="114">
        <f t="shared" si="7"/>
        <v>555.75</v>
      </c>
      <c r="F13" s="114">
        <v>0</v>
      </c>
      <c r="G13" s="114">
        <v>400</v>
      </c>
      <c r="H13" s="114">
        <f t="shared" si="8"/>
        <v>41.666666666666664</v>
      </c>
      <c r="I13" s="114">
        <f t="shared" si="9"/>
        <v>997.41666666666663</v>
      </c>
      <c r="K13" s="114" t="s">
        <v>158</v>
      </c>
      <c r="L13" s="114">
        <v>531.25</v>
      </c>
      <c r="M13" s="114">
        <f t="shared" si="0"/>
        <v>59.234375</v>
      </c>
      <c r="N13" s="114">
        <f t="shared" si="1"/>
        <v>50.203124999999993</v>
      </c>
      <c r="O13" s="114">
        <f t="shared" si="2"/>
        <v>590.484375</v>
      </c>
      <c r="P13" s="114">
        <v>0</v>
      </c>
      <c r="Q13" s="114">
        <v>0</v>
      </c>
      <c r="R13" s="114">
        <f t="shared" si="3"/>
        <v>590.484375</v>
      </c>
      <c r="S13" s="114">
        <f t="shared" si="4"/>
        <v>44.270833333333336</v>
      </c>
      <c r="U13" s="114" t="s">
        <v>158</v>
      </c>
      <c r="V13" s="114"/>
      <c r="W13" s="114"/>
      <c r="X13" s="114"/>
      <c r="Y13" s="114"/>
      <c r="Z13" s="114"/>
      <c r="AA13" s="114"/>
      <c r="AB13" s="114"/>
      <c r="AC13" s="91"/>
      <c r="AE13" s="114" t="s">
        <v>158</v>
      </c>
      <c r="AF13" s="114"/>
      <c r="AG13" s="114"/>
      <c r="AH13" s="114"/>
      <c r="AI13" s="114"/>
      <c r="AJ13" s="114"/>
      <c r="AK13" s="114"/>
      <c r="AL13" s="114"/>
      <c r="AM13" s="91"/>
      <c r="AO13" s="114" t="s">
        <v>158</v>
      </c>
      <c r="AP13" s="114"/>
      <c r="AQ13" s="114"/>
      <c r="AR13" s="114"/>
      <c r="AS13" s="114"/>
      <c r="AT13" s="114"/>
      <c r="AU13" s="114"/>
      <c r="AV13" s="114"/>
      <c r="AW13" s="91"/>
    </row>
    <row r="14" spans="1:49" x14ac:dyDescent="0.45">
      <c r="A14" s="114" t="s">
        <v>158</v>
      </c>
      <c r="B14" s="114">
        <v>500</v>
      </c>
      <c r="C14" s="114">
        <f t="shared" si="5"/>
        <v>55.75</v>
      </c>
      <c r="D14" s="114">
        <f t="shared" si="6"/>
        <v>47.249999999999993</v>
      </c>
      <c r="E14" s="114">
        <f t="shared" si="7"/>
        <v>555.75</v>
      </c>
      <c r="F14" s="114">
        <v>0</v>
      </c>
      <c r="G14" s="114">
        <v>0</v>
      </c>
      <c r="H14" s="114">
        <f t="shared" si="8"/>
        <v>41.666666666666664</v>
      </c>
      <c r="I14" s="114">
        <f t="shared" si="9"/>
        <v>597.41666666666663</v>
      </c>
      <c r="K14" s="114" t="s">
        <v>159</v>
      </c>
      <c r="L14" s="114">
        <v>531.25</v>
      </c>
      <c r="M14" s="114">
        <f t="shared" si="0"/>
        <v>59.234375</v>
      </c>
      <c r="N14" s="114">
        <f t="shared" si="1"/>
        <v>50.203124999999993</v>
      </c>
      <c r="O14" s="114">
        <f t="shared" si="2"/>
        <v>590.484375</v>
      </c>
      <c r="P14" s="114">
        <v>0</v>
      </c>
      <c r="Q14" s="114">
        <v>0</v>
      </c>
      <c r="R14" s="114">
        <f t="shared" si="3"/>
        <v>590.484375</v>
      </c>
      <c r="S14" s="114">
        <f t="shared" si="4"/>
        <v>44.270833333333336</v>
      </c>
      <c r="U14" s="114" t="s">
        <v>159</v>
      </c>
      <c r="V14" s="114"/>
      <c r="W14" s="114"/>
      <c r="X14" s="114"/>
      <c r="Y14" s="114"/>
      <c r="Z14" s="114"/>
      <c r="AA14" s="114"/>
      <c r="AB14" s="114"/>
      <c r="AC14" s="91"/>
      <c r="AE14" s="114" t="s">
        <v>159</v>
      </c>
      <c r="AF14" s="114"/>
      <c r="AG14" s="114"/>
      <c r="AH14" s="114"/>
      <c r="AI14" s="114"/>
      <c r="AJ14" s="114"/>
      <c r="AK14" s="114"/>
      <c r="AL14" s="114"/>
      <c r="AM14" s="91"/>
      <c r="AO14" s="114" t="s">
        <v>159</v>
      </c>
      <c r="AP14" s="114"/>
      <c r="AQ14" s="114"/>
      <c r="AR14" s="114"/>
      <c r="AS14" s="114"/>
      <c r="AT14" s="114"/>
      <c r="AU14" s="114"/>
      <c r="AV14" s="114"/>
      <c r="AW14" s="91"/>
    </row>
    <row r="15" spans="1:49" x14ac:dyDescent="0.45">
      <c r="A15" s="114" t="s">
        <v>159</v>
      </c>
      <c r="B15" s="114">
        <v>500</v>
      </c>
      <c r="C15" s="114">
        <f t="shared" si="5"/>
        <v>55.75</v>
      </c>
      <c r="D15" s="114">
        <f t="shared" si="6"/>
        <v>47.249999999999993</v>
      </c>
      <c r="E15" s="114">
        <f t="shared" si="7"/>
        <v>555.75</v>
      </c>
      <c r="F15" s="114">
        <v>0</v>
      </c>
      <c r="G15" s="114">
        <v>0</v>
      </c>
      <c r="H15" s="114">
        <f t="shared" si="8"/>
        <v>41.666666666666664</v>
      </c>
      <c r="I15" s="114">
        <f t="shared" si="9"/>
        <v>597.41666666666663</v>
      </c>
      <c r="K15" s="114" t="s">
        <v>160</v>
      </c>
      <c r="L15" s="114">
        <v>531.25</v>
      </c>
      <c r="M15" s="114">
        <f t="shared" si="0"/>
        <v>59.234375</v>
      </c>
      <c r="N15" s="114">
        <f t="shared" si="1"/>
        <v>50.203124999999993</v>
      </c>
      <c r="O15" s="114">
        <f t="shared" si="2"/>
        <v>590.484375</v>
      </c>
      <c r="P15" s="114">
        <v>0</v>
      </c>
      <c r="Q15" s="114">
        <v>0</v>
      </c>
      <c r="R15" s="114">
        <f t="shared" si="3"/>
        <v>590.484375</v>
      </c>
      <c r="S15" s="114">
        <f t="shared" si="4"/>
        <v>44.270833333333336</v>
      </c>
      <c r="U15" s="114" t="s">
        <v>160</v>
      </c>
      <c r="V15" s="114"/>
      <c r="W15" s="114"/>
      <c r="X15" s="114"/>
      <c r="Y15" s="114"/>
      <c r="Z15" s="114"/>
      <c r="AA15" s="114"/>
      <c r="AB15" s="114"/>
      <c r="AC15" s="91"/>
      <c r="AE15" s="114" t="s">
        <v>160</v>
      </c>
      <c r="AF15" s="114"/>
      <c r="AG15" s="114"/>
      <c r="AH15" s="114"/>
      <c r="AI15" s="114"/>
      <c r="AJ15" s="114"/>
      <c r="AK15" s="114"/>
      <c r="AL15" s="114"/>
      <c r="AM15" s="91"/>
      <c r="AO15" s="114" t="s">
        <v>160</v>
      </c>
      <c r="AP15" s="114"/>
      <c r="AQ15" s="114"/>
      <c r="AR15" s="114"/>
      <c r="AS15" s="114"/>
      <c r="AT15" s="114"/>
      <c r="AU15" s="114"/>
      <c r="AV15" s="114"/>
      <c r="AW15" s="91"/>
    </row>
    <row r="16" spans="1:49" x14ac:dyDescent="0.45">
      <c r="A16" s="114" t="s">
        <v>160</v>
      </c>
      <c r="B16" s="114">
        <v>500</v>
      </c>
      <c r="C16" s="114">
        <f t="shared" si="5"/>
        <v>55.75</v>
      </c>
      <c r="D16" s="114">
        <f t="shared" si="6"/>
        <v>47.249999999999993</v>
      </c>
      <c r="E16" s="114">
        <f t="shared" si="7"/>
        <v>555.75</v>
      </c>
      <c r="F16" s="114">
        <v>0</v>
      </c>
      <c r="G16" s="114">
        <v>0</v>
      </c>
      <c r="H16" s="114">
        <f t="shared" si="8"/>
        <v>41.666666666666664</v>
      </c>
      <c r="I16" s="114">
        <f t="shared" si="9"/>
        <v>597.41666666666663</v>
      </c>
      <c r="K16" s="114" t="s">
        <v>161</v>
      </c>
      <c r="L16" s="114">
        <v>531.25</v>
      </c>
      <c r="M16" s="114">
        <f t="shared" si="0"/>
        <v>59.234375</v>
      </c>
      <c r="N16" s="114">
        <f t="shared" si="1"/>
        <v>50.203124999999993</v>
      </c>
      <c r="O16" s="114">
        <f t="shared" si="2"/>
        <v>590.484375</v>
      </c>
      <c r="P16" s="114">
        <v>531.25</v>
      </c>
      <c r="Q16" s="114">
        <v>0</v>
      </c>
      <c r="R16" s="114">
        <f t="shared" si="3"/>
        <v>1121.734375</v>
      </c>
      <c r="S16" s="114">
        <f t="shared" si="4"/>
        <v>44.270833333333336</v>
      </c>
      <c r="U16" s="114" t="s">
        <v>161</v>
      </c>
      <c r="V16" s="114"/>
      <c r="W16" s="114"/>
      <c r="X16" s="114"/>
      <c r="Y16" s="114"/>
      <c r="Z16" s="114"/>
      <c r="AA16" s="114"/>
      <c r="AB16" s="114"/>
      <c r="AC16" s="91"/>
      <c r="AE16" s="114" t="s">
        <v>161</v>
      </c>
      <c r="AF16" s="114"/>
      <c r="AG16" s="114"/>
      <c r="AH16" s="114"/>
      <c r="AI16" s="114"/>
      <c r="AJ16" s="114"/>
      <c r="AK16" s="114"/>
      <c r="AL16" s="114"/>
      <c r="AM16" s="91"/>
      <c r="AO16" s="114" t="s">
        <v>161</v>
      </c>
      <c r="AP16" s="114"/>
      <c r="AQ16" s="114"/>
      <c r="AR16" s="114"/>
      <c r="AS16" s="114"/>
      <c r="AT16" s="114"/>
      <c r="AU16" s="114"/>
      <c r="AV16" s="114"/>
      <c r="AW16" s="91"/>
    </row>
    <row r="17" spans="1:49" x14ac:dyDescent="0.45">
      <c r="A17" s="114" t="s">
        <v>161</v>
      </c>
      <c r="B17" s="114">
        <v>500</v>
      </c>
      <c r="C17" s="114">
        <f t="shared" si="5"/>
        <v>55.75</v>
      </c>
      <c r="D17" s="114">
        <f t="shared" si="6"/>
        <v>47.249999999999993</v>
      </c>
      <c r="E17" s="114">
        <f t="shared" si="7"/>
        <v>555.75</v>
      </c>
      <c r="F17" s="114">
        <v>500</v>
      </c>
      <c r="G17" s="114">
        <v>0</v>
      </c>
      <c r="H17" s="114">
        <f t="shared" si="8"/>
        <v>41.666666666666664</v>
      </c>
      <c r="I17" s="114">
        <f t="shared" si="9"/>
        <v>1097.4166666666667</v>
      </c>
      <c r="K17" s="115"/>
      <c r="L17" s="116"/>
      <c r="M17" s="116"/>
      <c r="N17" s="116">
        <f>SUM(N5:N16)</f>
        <v>602.43749999999989</v>
      </c>
      <c r="O17" s="116"/>
      <c r="P17" s="116"/>
      <c r="Q17" s="117"/>
      <c r="R17" s="114"/>
      <c r="S17" s="114">
        <f>SUM(S5:S16)</f>
        <v>531.24999999999989</v>
      </c>
      <c r="U17" s="114"/>
      <c r="V17" s="114"/>
      <c r="W17" s="114"/>
      <c r="X17" s="114"/>
      <c r="Y17" s="114"/>
      <c r="Z17" s="114"/>
      <c r="AA17" s="114"/>
      <c r="AB17" s="114"/>
      <c r="AC17" s="91"/>
      <c r="AE17" s="114"/>
      <c r="AF17" s="114"/>
      <c r="AG17" s="114"/>
      <c r="AH17" s="114"/>
      <c r="AI17" s="114"/>
      <c r="AJ17" s="114"/>
      <c r="AK17" s="114"/>
      <c r="AL17" s="114"/>
      <c r="AM17" s="91"/>
      <c r="AO17" s="114"/>
      <c r="AP17" s="114"/>
      <c r="AQ17" s="114"/>
      <c r="AR17" s="114"/>
      <c r="AS17" s="114"/>
      <c r="AT17" s="114"/>
      <c r="AU17" s="114"/>
      <c r="AV17" s="114"/>
      <c r="AW17" s="91"/>
    </row>
    <row r="18" spans="1:49" x14ac:dyDescent="0.45">
      <c r="A18" s="114"/>
      <c r="B18" s="114"/>
      <c r="C18" s="114"/>
      <c r="D18" s="114">
        <f>SUM(D6:D17)</f>
        <v>566.99999999999989</v>
      </c>
      <c r="E18" s="114"/>
      <c r="F18" s="114"/>
      <c r="G18" s="114"/>
      <c r="H18" s="114"/>
      <c r="I18" s="114"/>
      <c r="K18" s="125" t="s">
        <v>177</v>
      </c>
      <c r="L18" s="126"/>
      <c r="M18" s="126"/>
      <c r="N18" s="126"/>
      <c r="O18" s="126"/>
      <c r="P18" s="126"/>
      <c r="Q18" s="127"/>
      <c r="R18" s="114">
        <f>SUM(R5:R16)</f>
        <v>8042.0625</v>
      </c>
      <c r="S18" s="114"/>
      <c r="U18" s="123" t="s">
        <v>177</v>
      </c>
      <c r="V18" s="123"/>
      <c r="W18" s="123"/>
      <c r="X18" s="123"/>
      <c r="Y18" s="123"/>
      <c r="Z18" s="123"/>
      <c r="AA18" s="123"/>
      <c r="AB18" s="123"/>
      <c r="AC18" s="91"/>
      <c r="AE18" s="123" t="s">
        <v>177</v>
      </c>
      <c r="AF18" s="123"/>
      <c r="AG18" s="123"/>
      <c r="AH18" s="123"/>
      <c r="AI18" s="123"/>
      <c r="AJ18" s="123"/>
      <c r="AK18" s="123"/>
      <c r="AL18" s="123"/>
      <c r="AM18" s="91"/>
      <c r="AO18" s="123" t="s">
        <v>177</v>
      </c>
      <c r="AP18" s="123"/>
      <c r="AQ18" s="123"/>
      <c r="AR18" s="123"/>
      <c r="AS18" s="123"/>
      <c r="AT18" s="123"/>
      <c r="AU18" s="123"/>
      <c r="AV18" s="123"/>
      <c r="AW18" s="91"/>
    </row>
    <row r="19" spans="1:49" x14ac:dyDescent="0.45">
      <c r="A19" s="125" t="s">
        <v>177</v>
      </c>
      <c r="B19" s="126"/>
      <c r="C19" s="126"/>
      <c r="D19" s="126"/>
      <c r="E19" s="126"/>
      <c r="F19" s="126"/>
      <c r="G19" s="127"/>
      <c r="H19" s="118"/>
      <c r="I19" s="114">
        <f>SUM(I6:I17)</f>
        <v>8069.0000000000009</v>
      </c>
    </row>
    <row r="21" spans="1:49" x14ac:dyDescent="0.45">
      <c r="A21" s="128" t="s">
        <v>178</v>
      </c>
      <c r="B21" s="129"/>
      <c r="C21" s="129"/>
      <c r="D21" s="129"/>
      <c r="E21" s="129"/>
      <c r="F21" s="129"/>
      <c r="G21" s="129"/>
      <c r="H21" s="129"/>
      <c r="I21" s="129"/>
      <c r="K21" s="130" t="s">
        <v>179</v>
      </c>
      <c r="L21" s="124"/>
      <c r="M21" s="124"/>
      <c r="N21" s="124"/>
      <c r="O21" s="124"/>
      <c r="P21" s="124"/>
      <c r="Q21" s="124"/>
      <c r="R21" s="124"/>
      <c r="S21" s="124"/>
    </row>
    <row r="22" spans="1:49" x14ac:dyDescent="0.45">
      <c r="A22" s="115" t="s">
        <v>171</v>
      </c>
      <c r="B22" s="114" t="s">
        <v>67</v>
      </c>
      <c r="C22" s="114" t="s">
        <v>172</v>
      </c>
      <c r="D22" s="114" t="s">
        <v>173</v>
      </c>
      <c r="E22" s="114" t="s">
        <v>67</v>
      </c>
      <c r="F22" s="114" t="s">
        <v>68</v>
      </c>
      <c r="G22" s="114" t="s">
        <v>69</v>
      </c>
      <c r="H22" s="113" t="s">
        <v>181</v>
      </c>
      <c r="I22" s="114" t="s">
        <v>70</v>
      </c>
      <c r="J22" s="14"/>
      <c r="K22" s="117" t="s">
        <v>171</v>
      </c>
      <c r="L22" s="114" t="s">
        <v>67</v>
      </c>
      <c r="M22" s="114" t="s">
        <v>172</v>
      </c>
      <c r="N22" s="114" t="s">
        <v>173</v>
      </c>
      <c r="O22" s="114" t="s">
        <v>67</v>
      </c>
      <c r="P22" s="114" t="s">
        <v>68</v>
      </c>
      <c r="Q22" s="114" t="s">
        <v>69</v>
      </c>
      <c r="R22" s="114" t="s">
        <v>70</v>
      </c>
      <c r="S22" s="114" t="s">
        <v>174</v>
      </c>
    </row>
    <row r="23" spans="1:49" x14ac:dyDescent="0.45">
      <c r="A23" s="115" t="s">
        <v>176</v>
      </c>
      <c r="B23" s="114">
        <v>400</v>
      </c>
      <c r="C23" s="114">
        <f>B23*11.15%</f>
        <v>44.6</v>
      </c>
      <c r="D23" s="114">
        <f>B23*9.45%</f>
        <v>37.799999999999997</v>
      </c>
      <c r="E23" s="114">
        <f>B23+C23</f>
        <v>444.6</v>
      </c>
      <c r="F23" s="114">
        <v>0</v>
      </c>
      <c r="G23" s="114">
        <v>0</v>
      </c>
      <c r="H23" s="114">
        <f>B23/12</f>
        <v>33.333333333333336</v>
      </c>
      <c r="I23" s="114">
        <f>E23+F23+G23+H23</f>
        <v>477.93333333333334</v>
      </c>
      <c r="K23" s="114" t="s">
        <v>176</v>
      </c>
      <c r="L23" s="114">
        <v>425</v>
      </c>
      <c r="M23" s="114">
        <f>L23*11.15%</f>
        <v>47.387500000000003</v>
      </c>
      <c r="N23" s="114">
        <f>L23*9.45%</f>
        <v>40.162499999999994</v>
      </c>
      <c r="O23" s="114">
        <f>L23+M23</f>
        <v>472.38749999999999</v>
      </c>
      <c r="P23" s="114">
        <v>0</v>
      </c>
      <c r="Q23" s="114">
        <v>0</v>
      </c>
      <c r="R23" s="114">
        <f>O23+P23+Q23</f>
        <v>472.38749999999999</v>
      </c>
      <c r="S23" s="114">
        <f>L23/12</f>
        <v>35.416666666666664</v>
      </c>
    </row>
    <row r="24" spans="1:49" x14ac:dyDescent="0.45">
      <c r="A24" s="115" t="s">
        <v>151</v>
      </c>
      <c r="B24" s="114">
        <v>400</v>
      </c>
      <c r="C24" s="114">
        <f t="shared" ref="C24:C34" si="10">B24*11.15%</f>
        <v>44.6</v>
      </c>
      <c r="D24" s="114">
        <f t="shared" ref="D24:D34" si="11">B24*9.45%</f>
        <v>37.799999999999997</v>
      </c>
      <c r="E24" s="114">
        <f t="shared" ref="E24:E34" si="12">B24+C24</f>
        <v>444.6</v>
      </c>
      <c r="F24" s="114">
        <v>0</v>
      </c>
      <c r="G24" s="114">
        <v>0</v>
      </c>
      <c r="H24" s="114">
        <f t="shared" ref="H24:H34" si="13">B24/12</f>
        <v>33.333333333333336</v>
      </c>
      <c r="I24" s="114">
        <f t="shared" ref="I24:I34" si="14">E24+F24+G24+H24</f>
        <v>477.93333333333334</v>
      </c>
      <c r="K24" s="114" t="s">
        <v>151</v>
      </c>
      <c r="L24" s="114">
        <v>425</v>
      </c>
      <c r="M24" s="114">
        <f t="shared" ref="M24:M34" si="15">L24*11.15%</f>
        <v>47.387500000000003</v>
      </c>
      <c r="N24" s="114">
        <f t="shared" ref="N24:N34" si="16">L24*9.45%</f>
        <v>40.162499999999994</v>
      </c>
      <c r="O24" s="114">
        <f t="shared" ref="O24:O34" si="17">L24+M24</f>
        <v>472.38749999999999</v>
      </c>
      <c r="P24" s="114">
        <v>0</v>
      </c>
      <c r="Q24" s="114">
        <v>0</v>
      </c>
      <c r="R24" s="114">
        <f t="shared" ref="R24:R34" si="18">O24+P24+Q24</f>
        <v>472.38749999999999</v>
      </c>
      <c r="S24" s="114">
        <f t="shared" ref="S24:S34" si="19">L24/12</f>
        <v>35.416666666666664</v>
      </c>
    </row>
    <row r="25" spans="1:49" x14ac:dyDescent="0.45">
      <c r="A25" s="115" t="s">
        <v>152</v>
      </c>
      <c r="B25" s="114">
        <v>400</v>
      </c>
      <c r="C25" s="114">
        <f t="shared" si="10"/>
        <v>44.6</v>
      </c>
      <c r="D25" s="114">
        <f t="shared" si="11"/>
        <v>37.799999999999997</v>
      </c>
      <c r="E25" s="114">
        <f t="shared" si="12"/>
        <v>444.6</v>
      </c>
      <c r="F25" s="114">
        <v>0</v>
      </c>
      <c r="G25" s="114">
        <v>0</v>
      </c>
      <c r="H25" s="114">
        <f t="shared" si="13"/>
        <v>33.333333333333336</v>
      </c>
      <c r="I25" s="114">
        <f t="shared" si="14"/>
        <v>477.93333333333334</v>
      </c>
      <c r="K25" s="114" t="s">
        <v>152</v>
      </c>
      <c r="L25" s="114">
        <v>425</v>
      </c>
      <c r="M25" s="114">
        <f t="shared" si="15"/>
        <v>47.387500000000003</v>
      </c>
      <c r="N25" s="114">
        <f t="shared" si="16"/>
        <v>40.162499999999994</v>
      </c>
      <c r="O25" s="114">
        <f t="shared" si="17"/>
        <v>472.38749999999999</v>
      </c>
      <c r="P25" s="114">
        <v>0</v>
      </c>
      <c r="Q25" s="114">
        <v>0</v>
      </c>
      <c r="R25" s="114">
        <f t="shared" si="18"/>
        <v>472.38749999999999</v>
      </c>
      <c r="S25" s="114">
        <f t="shared" si="19"/>
        <v>35.416666666666664</v>
      </c>
    </row>
    <row r="26" spans="1:49" x14ac:dyDescent="0.45">
      <c r="A26" s="115" t="s">
        <v>153</v>
      </c>
      <c r="B26" s="114">
        <v>400</v>
      </c>
      <c r="C26" s="114">
        <f t="shared" si="10"/>
        <v>44.6</v>
      </c>
      <c r="D26" s="114">
        <f t="shared" si="11"/>
        <v>37.799999999999997</v>
      </c>
      <c r="E26" s="114">
        <f t="shared" si="12"/>
        <v>444.6</v>
      </c>
      <c r="F26" s="114">
        <v>0</v>
      </c>
      <c r="G26" s="114">
        <v>0</v>
      </c>
      <c r="H26" s="114">
        <f t="shared" si="13"/>
        <v>33.333333333333336</v>
      </c>
      <c r="I26" s="114">
        <f t="shared" si="14"/>
        <v>477.93333333333334</v>
      </c>
      <c r="K26" s="114" t="s">
        <v>153</v>
      </c>
      <c r="L26" s="114">
        <v>425</v>
      </c>
      <c r="M26" s="114">
        <f t="shared" si="15"/>
        <v>47.387500000000003</v>
      </c>
      <c r="N26" s="114">
        <f t="shared" si="16"/>
        <v>40.162499999999994</v>
      </c>
      <c r="O26" s="114">
        <f t="shared" si="17"/>
        <v>472.38749999999999</v>
      </c>
      <c r="P26" s="114">
        <v>0</v>
      </c>
      <c r="Q26" s="114">
        <v>0</v>
      </c>
      <c r="R26" s="114">
        <f t="shared" si="18"/>
        <v>472.38749999999999</v>
      </c>
      <c r="S26" s="114">
        <f t="shared" si="19"/>
        <v>35.416666666666664</v>
      </c>
    </row>
    <row r="27" spans="1:49" x14ac:dyDescent="0.45">
      <c r="A27" s="115" t="s">
        <v>154</v>
      </c>
      <c r="B27" s="114">
        <v>400</v>
      </c>
      <c r="C27" s="114">
        <f t="shared" si="10"/>
        <v>44.6</v>
      </c>
      <c r="D27" s="114">
        <f t="shared" si="11"/>
        <v>37.799999999999997</v>
      </c>
      <c r="E27" s="114">
        <f t="shared" si="12"/>
        <v>444.6</v>
      </c>
      <c r="F27" s="114">
        <v>0</v>
      </c>
      <c r="G27" s="114">
        <v>0</v>
      </c>
      <c r="H27" s="114">
        <f t="shared" si="13"/>
        <v>33.333333333333336</v>
      </c>
      <c r="I27" s="114">
        <f t="shared" si="14"/>
        <v>477.93333333333334</v>
      </c>
      <c r="K27" s="114" t="s">
        <v>154</v>
      </c>
      <c r="L27" s="114">
        <v>425</v>
      </c>
      <c r="M27" s="114">
        <f t="shared" si="15"/>
        <v>47.387500000000003</v>
      </c>
      <c r="N27" s="114">
        <f t="shared" si="16"/>
        <v>40.162499999999994</v>
      </c>
      <c r="O27" s="114">
        <f t="shared" si="17"/>
        <v>472.38749999999999</v>
      </c>
      <c r="P27" s="114">
        <v>0</v>
      </c>
      <c r="Q27" s="114">
        <v>0</v>
      </c>
      <c r="R27" s="114">
        <f t="shared" si="18"/>
        <v>472.38749999999999</v>
      </c>
      <c r="S27" s="114">
        <f t="shared" si="19"/>
        <v>35.416666666666664</v>
      </c>
    </row>
    <row r="28" spans="1:49" x14ac:dyDescent="0.45">
      <c r="A28" s="115" t="s">
        <v>155</v>
      </c>
      <c r="B28" s="114">
        <v>400</v>
      </c>
      <c r="C28" s="114">
        <f t="shared" si="10"/>
        <v>44.6</v>
      </c>
      <c r="D28" s="114">
        <f t="shared" si="11"/>
        <v>37.799999999999997</v>
      </c>
      <c r="E28" s="114">
        <f t="shared" si="12"/>
        <v>444.6</v>
      </c>
      <c r="F28" s="114">
        <v>0</v>
      </c>
      <c r="G28" s="114">
        <v>0</v>
      </c>
      <c r="H28" s="114">
        <f t="shared" si="13"/>
        <v>33.333333333333336</v>
      </c>
      <c r="I28" s="114">
        <f t="shared" si="14"/>
        <v>477.93333333333334</v>
      </c>
      <c r="K28" s="114" t="s">
        <v>155</v>
      </c>
      <c r="L28" s="114">
        <v>425</v>
      </c>
      <c r="M28" s="114">
        <f t="shared" si="15"/>
        <v>47.387500000000003</v>
      </c>
      <c r="N28" s="114">
        <f t="shared" si="16"/>
        <v>40.162499999999994</v>
      </c>
      <c r="O28" s="114">
        <f t="shared" si="17"/>
        <v>472.38749999999999</v>
      </c>
      <c r="P28" s="114">
        <v>0</v>
      </c>
      <c r="Q28" s="114">
        <v>0</v>
      </c>
      <c r="R28" s="114">
        <f t="shared" si="18"/>
        <v>472.38749999999999</v>
      </c>
      <c r="S28" s="114">
        <f t="shared" si="19"/>
        <v>35.416666666666664</v>
      </c>
    </row>
    <row r="29" spans="1:49" x14ac:dyDescent="0.45">
      <c r="A29" s="115" t="s">
        <v>156</v>
      </c>
      <c r="B29" s="114">
        <v>400</v>
      </c>
      <c r="C29" s="114">
        <f t="shared" si="10"/>
        <v>44.6</v>
      </c>
      <c r="D29" s="114">
        <f t="shared" si="11"/>
        <v>37.799999999999997</v>
      </c>
      <c r="E29" s="114">
        <f t="shared" si="12"/>
        <v>444.6</v>
      </c>
      <c r="F29" s="114">
        <v>0</v>
      </c>
      <c r="G29" s="114">
        <v>0</v>
      </c>
      <c r="H29" s="114">
        <f t="shared" si="13"/>
        <v>33.333333333333336</v>
      </c>
      <c r="I29" s="114">
        <f t="shared" si="14"/>
        <v>477.93333333333334</v>
      </c>
      <c r="K29" s="114" t="s">
        <v>156</v>
      </c>
      <c r="L29" s="114">
        <v>425</v>
      </c>
      <c r="M29" s="114">
        <f t="shared" si="15"/>
        <v>47.387500000000003</v>
      </c>
      <c r="N29" s="114">
        <f t="shared" si="16"/>
        <v>40.162499999999994</v>
      </c>
      <c r="O29" s="114">
        <f t="shared" si="17"/>
        <v>472.38749999999999</v>
      </c>
      <c r="P29" s="114">
        <v>0</v>
      </c>
      <c r="Q29" s="114">
        <v>0</v>
      </c>
      <c r="R29" s="114">
        <f t="shared" si="18"/>
        <v>472.38749999999999</v>
      </c>
      <c r="S29" s="114">
        <f t="shared" si="19"/>
        <v>35.416666666666664</v>
      </c>
    </row>
    <row r="30" spans="1:49" x14ac:dyDescent="0.45">
      <c r="A30" s="115" t="s">
        <v>157</v>
      </c>
      <c r="B30" s="114">
        <v>400</v>
      </c>
      <c r="C30" s="114">
        <f t="shared" si="10"/>
        <v>44.6</v>
      </c>
      <c r="D30" s="114">
        <f t="shared" si="11"/>
        <v>37.799999999999997</v>
      </c>
      <c r="E30" s="114">
        <f t="shared" si="12"/>
        <v>444.6</v>
      </c>
      <c r="F30" s="114">
        <v>0</v>
      </c>
      <c r="G30" s="114">
        <v>400</v>
      </c>
      <c r="H30" s="114">
        <f t="shared" si="13"/>
        <v>33.333333333333336</v>
      </c>
      <c r="I30" s="114">
        <f t="shared" si="14"/>
        <v>877.93333333333339</v>
      </c>
      <c r="K30" s="114" t="s">
        <v>157</v>
      </c>
      <c r="L30" s="114">
        <v>425</v>
      </c>
      <c r="M30" s="114">
        <f t="shared" si="15"/>
        <v>47.387500000000003</v>
      </c>
      <c r="N30" s="114">
        <f t="shared" si="16"/>
        <v>40.162499999999994</v>
      </c>
      <c r="O30" s="114">
        <f t="shared" si="17"/>
        <v>472.38749999999999</v>
      </c>
      <c r="P30" s="114">
        <v>0</v>
      </c>
      <c r="Q30" s="114">
        <v>425</v>
      </c>
      <c r="R30" s="114">
        <f t="shared" si="18"/>
        <v>897.38750000000005</v>
      </c>
      <c r="S30" s="114">
        <f t="shared" si="19"/>
        <v>35.416666666666664</v>
      </c>
    </row>
    <row r="31" spans="1:49" x14ac:dyDescent="0.45">
      <c r="A31" s="115" t="s">
        <v>158</v>
      </c>
      <c r="B31" s="114">
        <v>400</v>
      </c>
      <c r="C31" s="114">
        <f t="shared" si="10"/>
        <v>44.6</v>
      </c>
      <c r="D31" s="114">
        <f t="shared" si="11"/>
        <v>37.799999999999997</v>
      </c>
      <c r="E31" s="114">
        <f t="shared" si="12"/>
        <v>444.6</v>
      </c>
      <c r="F31" s="114">
        <v>0</v>
      </c>
      <c r="G31" s="114">
        <v>0</v>
      </c>
      <c r="H31" s="114">
        <f t="shared" si="13"/>
        <v>33.333333333333336</v>
      </c>
      <c r="I31" s="114">
        <f t="shared" si="14"/>
        <v>477.93333333333334</v>
      </c>
      <c r="K31" s="114" t="s">
        <v>158</v>
      </c>
      <c r="L31" s="114">
        <v>425</v>
      </c>
      <c r="M31" s="114">
        <f t="shared" si="15"/>
        <v>47.387500000000003</v>
      </c>
      <c r="N31" s="114">
        <f t="shared" si="16"/>
        <v>40.162499999999994</v>
      </c>
      <c r="O31" s="114">
        <f t="shared" si="17"/>
        <v>472.38749999999999</v>
      </c>
      <c r="P31" s="114">
        <v>0</v>
      </c>
      <c r="Q31" s="114">
        <v>0</v>
      </c>
      <c r="R31" s="114">
        <f t="shared" si="18"/>
        <v>472.38749999999999</v>
      </c>
      <c r="S31" s="114">
        <f t="shared" si="19"/>
        <v>35.416666666666664</v>
      </c>
    </row>
    <row r="32" spans="1:49" x14ac:dyDescent="0.45">
      <c r="A32" s="115" t="s">
        <v>159</v>
      </c>
      <c r="B32" s="114">
        <v>400</v>
      </c>
      <c r="C32" s="114">
        <f t="shared" si="10"/>
        <v>44.6</v>
      </c>
      <c r="D32" s="114">
        <f t="shared" si="11"/>
        <v>37.799999999999997</v>
      </c>
      <c r="E32" s="114">
        <f t="shared" si="12"/>
        <v>444.6</v>
      </c>
      <c r="F32" s="114">
        <v>0</v>
      </c>
      <c r="G32" s="114">
        <v>0</v>
      </c>
      <c r="H32" s="114">
        <f t="shared" si="13"/>
        <v>33.333333333333336</v>
      </c>
      <c r="I32" s="114">
        <f t="shared" si="14"/>
        <v>477.93333333333334</v>
      </c>
      <c r="K32" s="114" t="s">
        <v>159</v>
      </c>
      <c r="L32" s="114">
        <v>425</v>
      </c>
      <c r="M32" s="114">
        <f t="shared" si="15"/>
        <v>47.387500000000003</v>
      </c>
      <c r="N32" s="114">
        <f t="shared" si="16"/>
        <v>40.162499999999994</v>
      </c>
      <c r="O32" s="114">
        <f t="shared" si="17"/>
        <v>472.38749999999999</v>
      </c>
      <c r="P32" s="114">
        <v>0</v>
      </c>
      <c r="Q32" s="114">
        <v>0</v>
      </c>
      <c r="R32" s="114">
        <f t="shared" si="18"/>
        <v>472.38749999999999</v>
      </c>
      <c r="S32" s="114">
        <f t="shared" si="19"/>
        <v>35.416666666666664</v>
      </c>
    </row>
    <row r="33" spans="1:19" x14ac:dyDescent="0.45">
      <c r="A33" s="115" t="s">
        <v>160</v>
      </c>
      <c r="B33" s="114">
        <v>400</v>
      </c>
      <c r="C33" s="114">
        <f t="shared" si="10"/>
        <v>44.6</v>
      </c>
      <c r="D33" s="114">
        <f t="shared" si="11"/>
        <v>37.799999999999997</v>
      </c>
      <c r="E33" s="114">
        <f t="shared" si="12"/>
        <v>444.6</v>
      </c>
      <c r="F33" s="114">
        <v>0</v>
      </c>
      <c r="G33" s="114">
        <v>0</v>
      </c>
      <c r="H33" s="114">
        <f t="shared" si="13"/>
        <v>33.333333333333336</v>
      </c>
      <c r="I33" s="114">
        <f t="shared" si="14"/>
        <v>477.93333333333334</v>
      </c>
      <c r="K33" s="114" t="s">
        <v>160</v>
      </c>
      <c r="L33" s="114">
        <v>425</v>
      </c>
      <c r="M33" s="114">
        <f t="shared" si="15"/>
        <v>47.387500000000003</v>
      </c>
      <c r="N33" s="114">
        <f t="shared" si="16"/>
        <v>40.162499999999994</v>
      </c>
      <c r="O33" s="114">
        <f t="shared" si="17"/>
        <v>472.38749999999999</v>
      </c>
      <c r="P33" s="114">
        <v>0</v>
      </c>
      <c r="Q33" s="114">
        <v>0</v>
      </c>
      <c r="R33" s="114">
        <f t="shared" si="18"/>
        <v>472.38749999999999</v>
      </c>
      <c r="S33" s="114">
        <f t="shared" si="19"/>
        <v>35.416666666666664</v>
      </c>
    </row>
    <row r="34" spans="1:19" x14ac:dyDescent="0.45">
      <c r="A34" s="115" t="s">
        <v>161</v>
      </c>
      <c r="B34" s="114">
        <v>400</v>
      </c>
      <c r="C34" s="114">
        <f t="shared" si="10"/>
        <v>44.6</v>
      </c>
      <c r="D34" s="114">
        <f t="shared" si="11"/>
        <v>37.799999999999997</v>
      </c>
      <c r="E34" s="114">
        <f t="shared" si="12"/>
        <v>444.6</v>
      </c>
      <c r="F34" s="114">
        <v>400</v>
      </c>
      <c r="G34" s="114">
        <v>0</v>
      </c>
      <c r="H34" s="114">
        <f t="shared" si="13"/>
        <v>33.333333333333336</v>
      </c>
      <c r="I34" s="114">
        <f t="shared" si="14"/>
        <v>877.93333333333339</v>
      </c>
      <c r="K34" s="114" t="s">
        <v>161</v>
      </c>
      <c r="L34" s="114">
        <v>425</v>
      </c>
      <c r="M34" s="114">
        <f t="shared" si="15"/>
        <v>47.387500000000003</v>
      </c>
      <c r="N34" s="114">
        <f t="shared" si="16"/>
        <v>40.162499999999994</v>
      </c>
      <c r="O34" s="114">
        <f t="shared" si="17"/>
        <v>472.38749999999999</v>
      </c>
      <c r="P34" s="114">
        <v>425</v>
      </c>
      <c r="Q34" s="114">
        <v>0</v>
      </c>
      <c r="R34" s="114">
        <f t="shared" si="18"/>
        <v>897.38750000000005</v>
      </c>
      <c r="S34" s="114">
        <f t="shared" si="19"/>
        <v>35.416666666666664</v>
      </c>
    </row>
    <row r="35" spans="1:19" x14ac:dyDescent="0.45">
      <c r="A35" s="115"/>
      <c r="B35" s="114"/>
      <c r="C35" s="114"/>
      <c r="D35" s="114"/>
      <c r="E35" s="114"/>
      <c r="F35" s="114"/>
      <c r="G35" s="114"/>
      <c r="H35" s="114"/>
      <c r="I35" s="114"/>
      <c r="K35" s="114"/>
      <c r="L35" s="114"/>
      <c r="M35" s="114"/>
      <c r="N35" s="114">
        <f>SUM(N23:N34)</f>
        <v>481.95000000000005</v>
      </c>
      <c r="O35" s="114"/>
      <c r="P35" s="114"/>
      <c r="Q35" s="114"/>
      <c r="R35" s="114"/>
      <c r="S35" s="114">
        <f>SUM(S23:S34)</f>
        <v>425.00000000000006</v>
      </c>
    </row>
    <row r="36" spans="1:19" x14ac:dyDescent="0.45">
      <c r="A36" s="125" t="s">
        <v>180</v>
      </c>
      <c r="B36" s="126"/>
      <c r="C36" s="126"/>
      <c r="D36" s="126"/>
      <c r="E36" s="126"/>
      <c r="F36" s="126"/>
      <c r="G36" s="127"/>
      <c r="H36" s="118"/>
      <c r="I36" s="114">
        <f>SUM(I23:I34)</f>
        <v>6535.2000000000007</v>
      </c>
      <c r="K36" s="123" t="s">
        <v>177</v>
      </c>
      <c r="L36" s="123"/>
      <c r="M36" s="123"/>
      <c r="N36" s="123"/>
      <c r="O36" s="123"/>
      <c r="P36" s="123"/>
      <c r="Q36" s="123"/>
      <c r="R36" s="114">
        <f>SUM(R23:R34)</f>
        <v>6518.6499999999987</v>
      </c>
      <c r="S36" s="114"/>
    </row>
  </sheetData>
  <mergeCells count="14">
    <mergeCell ref="A4:I4"/>
    <mergeCell ref="A19:G19"/>
    <mergeCell ref="A21:I21"/>
    <mergeCell ref="K21:S21"/>
    <mergeCell ref="A36:G36"/>
    <mergeCell ref="K36:Q36"/>
    <mergeCell ref="K18:Q18"/>
    <mergeCell ref="U18:AB18"/>
    <mergeCell ref="AE18:AL18"/>
    <mergeCell ref="AO18:AV18"/>
    <mergeCell ref="K3:S3"/>
    <mergeCell ref="U3:AC3"/>
    <mergeCell ref="AE3:AM3"/>
    <mergeCell ref="AO3:AW3"/>
  </mergeCells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6351E-7020-4A91-83A2-E540C785543B}">
  <dimension ref="B3:J18"/>
  <sheetViews>
    <sheetView workbookViewId="0">
      <selection activeCell="C17" sqref="C17"/>
    </sheetView>
  </sheetViews>
  <sheetFormatPr baseColWidth="10" defaultRowHeight="14.25" x14ac:dyDescent="0.45"/>
  <cols>
    <col min="2" max="2" width="35.265625" bestFit="1" customWidth="1"/>
    <col min="10" max="10" width="14.3984375" bestFit="1" customWidth="1"/>
  </cols>
  <sheetData>
    <row r="3" spans="2:10" ht="15.4" x14ac:dyDescent="0.45">
      <c r="B3" s="131" t="s">
        <v>39</v>
      </c>
      <c r="C3" s="132"/>
      <c r="D3" s="132"/>
      <c r="E3" s="132"/>
      <c r="F3" s="132"/>
      <c r="G3" s="132"/>
      <c r="H3" s="132"/>
      <c r="I3" s="132"/>
      <c r="J3" s="133"/>
    </row>
    <row r="4" spans="2:10" ht="15.4" x14ac:dyDescent="0.45">
      <c r="B4" s="6"/>
      <c r="C4" s="6"/>
      <c r="D4" s="6"/>
      <c r="E4" s="6"/>
      <c r="F4" s="6"/>
      <c r="G4" s="6"/>
      <c r="H4" s="6"/>
      <c r="I4" s="6"/>
      <c r="J4" s="6"/>
    </row>
    <row r="5" spans="2:10" ht="15.4" x14ac:dyDescent="0.45">
      <c r="B5" s="7" t="s">
        <v>40</v>
      </c>
      <c r="C5" s="7" t="s">
        <v>41</v>
      </c>
      <c r="D5" s="7" t="s">
        <v>42</v>
      </c>
      <c r="E5" s="7">
        <v>1</v>
      </c>
      <c r="F5" s="7">
        <v>2</v>
      </c>
      <c r="G5" s="7">
        <v>3</v>
      </c>
      <c r="H5" s="7">
        <v>4</v>
      </c>
      <c r="I5" s="7">
        <v>5</v>
      </c>
      <c r="J5" s="7" t="s">
        <v>43</v>
      </c>
    </row>
    <row r="6" spans="2:10" ht="15.4" x14ac:dyDescent="0.45">
      <c r="B6" s="8" t="s">
        <v>44</v>
      </c>
      <c r="C6" s="9"/>
      <c r="D6" s="10"/>
      <c r="E6" s="10"/>
      <c r="F6" s="10"/>
      <c r="G6" s="10"/>
      <c r="H6" s="10"/>
      <c r="I6" s="10"/>
      <c r="J6" s="10"/>
    </row>
    <row r="7" spans="2:10" ht="15.4" x14ac:dyDescent="0.45">
      <c r="B7" s="8" t="s">
        <v>45</v>
      </c>
      <c r="C7" s="9"/>
      <c r="D7" s="10"/>
      <c r="E7" s="10"/>
      <c r="F7" s="10"/>
      <c r="G7" s="10"/>
      <c r="H7" s="10"/>
      <c r="I7" s="10"/>
      <c r="J7" s="9"/>
    </row>
    <row r="8" spans="2:10" ht="15.4" x14ac:dyDescent="0.45">
      <c r="B8" s="11" t="str">
        <f>BGENE!B11</f>
        <v>Muebles de oficina</v>
      </c>
      <c r="C8" s="12">
        <f>BGENE!C11</f>
        <v>1200</v>
      </c>
      <c r="D8" s="13">
        <v>0.1</v>
      </c>
      <c r="E8" s="12">
        <f>C8*D8</f>
        <v>120</v>
      </c>
      <c r="F8" s="12">
        <f>E8</f>
        <v>120</v>
      </c>
      <c r="G8" s="12">
        <f t="shared" ref="G8:I8" si="0">F8</f>
        <v>120</v>
      </c>
      <c r="H8" s="12">
        <f t="shared" si="0"/>
        <v>120</v>
      </c>
      <c r="I8" s="12">
        <f t="shared" si="0"/>
        <v>120</v>
      </c>
      <c r="J8" s="12">
        <f>C8-E8-F8-G8-H8-I8</f>
        <v>600</v>
      </c>
    </row>
    <row r="9" spans="2:10" ht="15.4" x14ac:dyDescent="0.45">
      <c r="B9" s="11" t="str">
        <f>BGENE!B12</f>
        <v>Equipo de computo</v>
      </c>
      <c r="C9" s="12">
        <f>BGENE!C12</f>
        <v>240</v>
      </c>
      <c r="D9" s="111">
        <v>0.33329999999999999</v>
      </c>
      <c r="E9" s="12">
        <f>C9/3</f>
        <v>80</v>
      </c>
      <c r="F9" s="12">
        <f t="shared" ref="F9:I10" si="1">E9</f>
        <v>80</v>
      </c>
      <c r="G9" s="12">
        <f t="shared" si="1"/>
        <v>80</v>
      </c>
      <c r="H9" s="12"/>
      <c r="I9" s="12"/>
      <c r="J9" s="12">
        <f t="shared" ref="J9:J10" si="2">C9-E9-F9-G9-H9-I9</f>
        <v>0</v>
      </c>
    </row>
    <row r="10" spans="2:10" ht="15.4" x14ac:dyDescent="0.45">
      <c r="B10" s="11" t="str">
        <f>BGENE!B13</f>
        <v>Vehiculos</v>
      </c>
      <c r="C10" s="12">
        <f>BGENE!C13</f>
        <v>7200</v>
      </c>
      <c r="D10" s="13">
        <v>0.2</v>
      </c>
      <c r="E10" s="12">
        <f t="shared" ref="E10" si="3">C10*D10</f>
        <v>1440</v>
      </c>
      <c r="F10" s="12">
        <f t="shared" si="1"/>
        <v>1440</v>
      </c>
      <c r="G10" s="12">
        <f t="shared" si="1"/>
        <v>1440</v>
      </c>
      <c r="H10" s="12">
        <f t="shared" si="1"/>
        <v>1440</v>
      </c>
      <c r="I10" s="12">
        <f t="shared" si="1"/>
        <v>1440</v>
      </c>
      <c r="J10" s="12">
        <f t="shared" si="2"/>
        <v>0</v>
      </c>
    </row>
    <row r="11" spans="2:10" ht="15.4" x14ac:dyDescent="0.45">
      <c r="B11" s="11" t="s">
        <v>46</v>
      </c>
      <c r="C11" s="12">
        <f>SUM(C8:C10)</f>
        <v>8640</v>
      </c>
      <c r="D11" s="13"/>
      <c r="E11" s="12">
        <f>SUM(E8:E10)</f>
        <v>1640</v>
      </c>
      <c r="F11" s="12">
        <f>SUM(F8:F10)</f>
        <v>1640</v>
      </c>
      <c r="G11" s="12">
        <f>SUM(G8:G10)</f>
        <v>1640</v>
      </c>
      <c r="H11" s="12">
        <f>SUM(H8:H10)</f>
        <v>1560</v>
      </c>
      <c r="I11" s="12">
        <f>SUM(I8:I10)</f>
        <v>1560</v>
      </c>
      <c r="J11" s="12">
        <f>C11-E11-F11-G11-H11-I11</f>
        <v>600</v>
      </c>
    </row>
    <row r="14" spans="2:10" ht="15.4" x14ac:dyDescent="0.45">
      <c r="B14" s="7" t="s">
        <v>40</v>
      </c>
      <c r="C14" s="7" t="s">
        <v>41</v>
      </c>
      <c r="D14" s="7" t="s">
        <v>42</v>
      </c>
      <c r="E14" s="7">
        <v>1</v>
      </c>
      <c r="F14" s="7">
        <v>2</v>
      </c>
      <c r="G14" s="7">
        <v>3</v>
      </c>
      <c r="H14" s="7">
        <v>4</v>
      </c>
      <c r="I14" s="7">
        <v>5</v>
      </c>
      <c r="J14" s="7" t="s">
        <v>43</v>
      </c>
    </row>
    <row r="15" spans="2:10" ht="15.4" x14ac:dyDescent="0.45">
      <c r="B15" s="8" t="s">
        <v>47</v>
      </c>
      <c r="C15" s="9"/>
      <c r="D15" s="10"/>
      <c r="E15" s="10"/>
      <c r="F15" s="10"/>
      <c r="G15" s="10"/>
      <c r="H15" s="10"/>
      <c r="I15" s="10"/>
      <c r="J15" s="10"/>
    </row>
    <row r="16" spans="2:10" ht="15.4" x14ac:dyDescent="0.45">
      <c r="B16" s="8" t="s">
        <v>45</v>
      </c>
      <c r="C16" s="9"/>
      <c r="D16" s="10"/>
      <c r="E16" s="10"/>
      <c r="F16" s="10"/>
      <c r="G16" s="10"/>
      <c r="H16" s="10"/>
      <c r="I16" s="10"/>
      <c r="J16" s="9"/>
    </row>
    <row r="17" spans="2:10" ht="15.4" x14ac:dyDescent="0.45">
      <c r="B17" s="11" t="str">
        <f>BGENE!B16</f>
        <v>Gastos preoperacionales</v>
      </c>
      <c r="C17" s="12">
        <f>BGENE!C16</f>
        <v>600</v>
      </c>
      <c r="D17" s="13">
        <v>0.2</v>
      </c>
      <c r="E17" s="12">
        <f>C17*D17</f>
        <v>120</v>
      </c>
      <c r="F17" s="12">
        <f>E17</f>
        <v>120</v>
      </c>
      <c r="G17" s="12">
        <f t="shared" ref="G17:I17" si="4">F17</f>
        <v>120</v>
      </c>
      <c r="H17" s="12">
        <f t="shared" si="4"/>
        <v>120</v>
      </c>
      <c r="I17" s="12">
        <f t="shared" si="4"/>
        <v>120</v>
      </c>
      <c r="J17" s="12">
        <f>C17-E17-F17-G17-H17-I17</f>
        <v>0</v>
      </c>
    </row>
    <row r="18" spans="2:10" ht="15.4" x14ac:dyDescent="0.45">
      <c r="B18" s="11" t="s">
        <v>46</v>
      </c>
      <c r="C18" s="12">
        <f>SUM(C17:C17)</f>
        <v>600</v>
      </c>
      <c r="D18" s="13"/>
      <c r="E18" s="12">
        <f>SUM(E17:E17)</f>
        <v>120</v>
      </c>
      <c r="F18" s="12">
        <f>SUM(F17:F17)</f>
        <v>120</v>
      </c>
      <c r="G18" s="12">
        <f>SUM(G17:G17)</f>
        <v>120</v>
      </c>
      <c r="H18" s="12">
        <f>SUM(H17:H17)</f>
        <v>120</v>
      </c>
      <c r="I18" s="12">
        <f>SUM(I17:I17)</f>
        <v>120</v>
      </c>
      <c r="J18" s="12">
        <f>C18-E18-F18-G18-H18-I18</f>
        <v>0</v>
      </c>
    </row>
  </sheetData>
  <mergeCells count="1">
    <mergeCell ref="B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BE16C-AE46-4D29-9D13-644BB3FADC0D}">
  <dimension ref="C5:L20"/>
  <sheetViews>
    <sheetView workbookViewId="0">
      <selection activeCell="G8" sqref="G8"/>
    </sheetView>
  </sheetViews>
  <sheetFormatPr baseColWidth="10" defaultRowHeight="14.25" x14ac:dyDescent="0.45"/>
  <cols>
    <col min="3" max="3" width="27" bestFit="1" customWidth="1"/>
    <col min="4" max="6" width="11.86328125" bestFit="1" customWidth="1"/>
  </cols>
  <sheetData>
    <row r="5" spans="3:12" ht="15.4" x14ac:dyDescent="0.45">
      <c r="C5" s="99"/>
      <c r="D5" s="100" t="s">
        <v>135</v>
      </c>
      <c r="E5" s="100" t="s">
        <v>136</v>
      </c>
      <c r="F5" s="100" t="s">
        <v>46</v>
      </c>
    </row>
    <row r="6" spans="3:12" ht="15.4" x14ac:dyDescent="0.45">
      <c r="C6" s="102" t="s">
        <v>60</v>
      </c>
      <c r="D6" s="101"/>
      <c r="E6" s="101">
        <f>ER!D5</f>
        <v>31634.86</v>
      </c>
      <c r="F6" s="101">
        <f>E6</f>
        <v>31634.86</v>
      </c>
      <c r="G6" s="14"/>
      <c r="H6" s="14"/>
      <c r="I6" s="14"/>
      <c r="J6" s="14"/>
    </row>
    <row r="7" spans="3:12" ht="15.4" x14ac:dyDescent="0.45">
      <c r="C7" s="102" t="s">
        <v>137</v>
      </c>
      <c r="D7" s="101"/>
      <c r="E7" s="101"/>
      <c r="F7" s="101">
        <f>SUM(D8:D13)</f>
        <v>11533</v>
      </c>
      <c r="G7" s="14">
        <f>SUM(G8:G13)</f>
        <v>12122.512500000003</v>
      </c>
      <c r="H7" s="14">
        <f t="shared" ref="H7:J7" si="0">SUM(H8:H13)</f>
        <v>12747.804531250002</v>
      </c>
      <c r="I7" s="14">
        <f t="shared" si="0"/>
        <v>13331.059064453126</v>
      </c>
      <c r="J7" s="14">
        <f t="shared" si="0"/>
        <v>14034.592843481447</v>
      </c>
      <c r="L7" s="14">
        <f>F7*ER!J7</f>
        <v>12253.8125</v>
      </c>
    </row>
    <row r="8" spans="3:12" ht="15.4" x14ac:dyDescent="0.45">
      <c r="C8" s="103" t="s">
        <v>138</v>
      </c>
      <c r="D8" s="101">
        <f>SYS!I19</f>
        <v>8069.0000000000009</v>
      </c>
      <c r="E8" s="101"/>
      <c r="F8" s="101"/>
      <c r="G8" s="14">
        <f>D8*ER!$J$7</f>
        <v>8573.3125000000018</v>
      </c>
      <c r="H8" s="14">
        <f>G8*ER!$J$7</f>
        <v>9109.1445312500018</v>
      </c>
      <c r="I8" s="14">
        <f>H8*ER!$J$7</f>
        <v>9678.4660644531268</v>
      </c>
      <c r="J8" s="14">
        <f>I8*ER!$J$7</f>
        <v>10283.370193481447</v>
      </c>
    </row>
    <row r="9" spans="3:12" ht="15.4" x14ac:dyDescent="0.45">
      <c r="C9" s="103" t="s">
        <v>29</v>
      </c>
      <c r="D9" s="101">
        <f>ER!D15</f>
        <v>1640</v>
      </c>
      <c r="E9" s="101"/>
      <c r="F9" s="101"/>
      <c r="G9" s="14">
        <f>DEP!F11</f>
        <v>1640</v>
      </c>
      <c r="H9" s="14">
        <f>DEP!G11</f>
        <v>1640</v>
      </c>
      <c r="I9" s="14">
        <f>DEP!H11</f>
        <v>1560</v>
      </c>
      <c r="J9" s="14">
        <f>DEP!I11</f>
        <v>1560</v>
      </c>
    </row>
    <row r="10" spans="3:12" ht="15.4" x14ac:dyDescent="0.45">
      <c r="C10" s="103" t="s">
        <v>164</v>
      </c>
      <c r="D10" s="101">
        <v>240</v>
      </c>
      <c r="E10" s="101"/>
      <c r="F10" s="101"/>
      <c r="G10" s="14">
        <f t="shared" ref="G10:G11" si="1">D10*1.05</f>
        <v>252</v>
      </c>
      <c r="H10" s="14">
        <f t="shared" ref="H10:J10" si="2">G10*1.05</f>
        <v>264.60000000000002</v>
      </c>
      <c r="I10" s="14">
        <f t="shared" si="2"/>
        <v>277.83000000000004</v>
      </c>
      <c r="J10" s="14">
        <f t="shared" si="2"/>
        <v>291.72150000000005</v>
      </c>
    </row>
    <row r="11" spans="3:12" ht="15.4" x14ac:dyDescent="0.45">
      <c r="C11" s="103" t="s">
        <v>165</v>
      </c>
      <c r="D11" s="101">
        <v>264</v>
      </c>
      <c r="E11" s="101"/>
      <c r="F11" s="101"/>
      <c r="G11" s="14">
        <f t="shared" si="1"/>
        <v>277.2</v>
      </c>
      <c r="H11" s="14">
        <f t="shared" ref="H11:J11" si="3">G11*1.05</f>
        <v>291.06</v>
      </c>
      <c r="I11" s="14">
        <f t="shared" si="3"/>
        <v>305.613</v>
      </c>
      <c r="J11" s="14">
        <f t="shared" si="3"/>
        <v>320.89365000000004</v>
      </c>
    </row>
    <row r="12" spans="3:12" ht="15.4" x14ac:dyDescent="0.45">
      <c r="C12" s="103" t="s">
        <v>163</v>
      </c>
      <c r="D12" s="101">
        <v>1200</v>
      </c>
      <c r="E12" s="101"/>
      <c r="F12" s="101"/>
      <c r="G12" s="14">
        <f>D12*1.05</f>
        <v>1260</v>
      </c>
      <c r="H12" s="14">
        <f>G12*1.05</f>
        <v>1323</v>
      </c>
      <c r="I12" s="14">
        <f t="shared" ref="I12" si="4">H12*1.05</f>
        <v>1389.15</v>
      </c>
      <c r="J12" s="14">
        <f>I12*1.05</f>
        <v>1458.6075000000001</v>
      </c>
    </row>
    <row r="13" spans="3:12" ht="15.4" x14ac:dyDescent="0.45">
      <c r="C13" s="103" t="s">
        <v>166</v>
      </c>
      <c r="D13" s="101">
        <f>ER!D16</f>
        <v>120</v>
      </c>
      <c r="E13" s="101"/>
      <c r="F13" s="101"/>
      <c r="G13" s="32">
        <f>DEP!F17</f>
        <v>120</v>
      </c>
      <c r="H13" s="32">
        <f>DEP!G17</f>
        <v>120</v>
      </c>
      <c r="I13" s="32">
        <f>DEP!H17</f>
        <v>120</v>
      </c>
      <c r="J13" s="32">
        <f>DEP!I17</f>
        <v>120</v>
      </c>
    </row>
    <row r="14" spans="3:12" ht="15.4" x14ac:dyDescent="0.45">
      <c r="C14" s="102" t="s">
        <v>141</v>
      </c>
      <c r="D14" s="101"/>
      <c r="E14" s="101"/>
      <c r="F14" s="101">
        <f>D15+D16</f>
        <v>6835.2000000000007</v>
      </c>
      <c r="G14" s="14">
        <f>G15+G16</f>
        <v>7258.6500000000005</v>
      </c>
      <c r="H14" s="14">
        <f>H15+H16</f>
        <v>7708.3781250000002</v>
      </c>
      <c r="I14" s="14">
        <f t="shared" ref="I14:J14" si="5">I15+I16</f>
        <v>8186.0173828125007</v>
      </c>
      <c r="J14" s="14">
        <f t="shared" si="5"/>
        <v>8693.3023754882815</v>
      </c>
    </row>
    <row r="15" spans="3:12" ht="15.4" x14ac:dyDescent="0.45">
      <c r="C15" s="103" t="s">
        <v>138</v>
      </c>
      <c r="D15" s="101">
        <f>SYS!I36</f>
        <v>6535.2000000000007</v>
      </c>
      <c r="E15" s="101"/>
      <c r="F15" s="101"/>
      <c r="G15" s="14">
        <f>D15*ER!J7</f>
        <v>6943.6500000000005</v>
      </c>
      <c r="H15" s="14">
        <f>G15*ER!$J$7</f>
        <v>7377.6281250000002</v>
      </c>
      <c r="I15" s="14">
        <f>H15*ER!$J$7</f>
        <v>7838.7298828125004</v>
      </c>
      <c r="J15" s="14">
        <f>I15*ER!$J$7</f>
        <v>8328.650500488282</v>
      </c>
    </row>
    <row r="16" spans="3:12" ht="15.4" x14ac:dyDescent="0.45">
      <c r="C16" s="103" t="s">
        <v>150</v>
      </c>
      <c r="D16" s="101">
        <v>300</v>
      </c>
      <c r="E16" s="101"/>
      <c r="F16" s="101"/>
      <c r="G16" s="14">
        <f>D16*1.05</f>
        <v>315</v>
      </c>
      <c r="H16" s="14">
        <f>G16*1.05</f>
        <v>330.75</v>
      </c>
      <c r="I16" s="14">
        <f t="shared" ref="I16:J16" si="6">H16*1.05</f>
        <v>347.28750000000002</v>
      </c>
      <c r="J16" s="14">
        <f t="shared" si="6"/>
        <v>364.65187500000002</v>
      </c>
    </row>
    <row r="17" spans="3:6" ht="15.4" x14ac:dyDescent="0.45">
      <c r="C17" s="102" t="s">
        <v>139</v>
      </c>
      <c r="D17" s="101"/>
      <c r="E17" s="101"/>
      <c r="F17" s="101">
        <f>D18</f>
        <v>510.5800166142389</v>
      </c>
    </row>
    <row r="18" spans="3:6" ht="15.4" x14ac:dyDescent="0.45">
      <c r="C18" s="103" t="s">
        <v>167</v>
      </c>
      <c r="D18" s="101">
        <f>'TAB AMOR'!D5</f>
        <v>510.5800166142389</v>
      </c>
      <c r="E18" s="101"/>
      <c r="F18" s="101"/>
    </row>
    <row r="19" spans="3:6" ht="15.4" x14ac:dyDescent="0.45">
      <c r="C19" s="102" t="s">
        <v>101</v>
      </c>
      <c r="D19" s="101">
        <f>SUM(D7:D18)</f>
        <v>18878.780016614241</v>
      </c>
      <c r="E19" s="101">
        <f>E6</f>
        <v>31634.86</v>
      </c>
      <c r="F19" s="101"/>
    </row>
    <row r="20" spans="3:6" ht="15.4" x14ac:dyDescent="0.45">
      <c r="C20" s="102" t="s">
        <v>140</v>
      </c>
      <c r="D20" s="134">
        <f>D19+E19</f>
        <v>50513.640016614241</v>
      </c>
      <c r="E20" s="134"/>
      <c r="F20" s="101">
        <f>SUM(F6:F19)</f>
        <v>50513.640016614234</v>
      </c>
    </row>
  </sheetData>
  <mergeCells count="1">
    <mergeCell ref="D20:E20"/>
  </mergeCells>
  <pageMargins left="0.7" right="0.7" top="0.75" bottom="0.75" header="0.3" footer="0.3"/>
  <pageSetup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54887-311E-4EC5-914A-0F49E7E6855D}">
  <dimension ref="B3:K39"/>
  <sheetViews>
    <sheetView tabSelected="1" topLeftCell="A20" workbookViewId="0">
      <selection activeCell="H27" sqref="H27"/>
    </sheetView>
  </sheetViews>
  <sheetFormatPr baseColWidth="10" defaultRowHeight="14.25" x14ac:dyDescent="0.45"/>
  <cols>
    <col min="2" max="2" width="26.3984375" bestFit="1" customWidth="1"/>
    <col min="3" max="3" width="11.265625" bestFit="1" customWidth="1"/>
    <col min="4" max="7" width="10.6640625" style="152"/>
    <col min="10" max="10" width="12.59765625" bestFit="1" customWidth="1"/>
  </cols>
  <sheetData>
    <row r="3" spans="2:11" x14ac:dyDescent="0.45">
      <c r="B3" s="16"/>
      <c r="C3" s="16"/>
      <c r="D3" s="148">
        <v>2021</v>
      </c>
      <c r="E3" s="148">
        <v>2022</v>
      </c>
      <c r="F3" s="148">
        <v>2023</v>
      </c>
      <c r="G3" s="148">
        <v>2024</v>
      </c>
      <c r="H3" s="17">
        <v>2025</v>
      </c>
    </row>
    <row r="4" spans="2:11" x14ac:dyDescent="0.45">
      <c r="B4" s="16" t="s">
        <v>48</v>
      </c>
      <c r="C4" s="16"/>
      <c r="D4" s="149">
        <f>VENTAS!G21</f>
        <v>53446</v>
      </c>
      <c r="E4" s="150">
        <f>D4*1.05</f>
        <v>56118.3</v>
      </c>
      <c r="F4" s="150">
        <f t="shared" ref="F4:H5" si="0">E4*1.05</f>
        <v>58924.215000000004</v>
      </c>
      <c r="G4" s="150">
        <f t="shared" si="0"/>
        <v>61870.425750000009</v>
      </c>
      <c r="H4" s="15">
        <f t="shared" si="0"/>
        <v>64963.947037500009</v>
      </c>
    </row>
    <row r="5" spans="2:11" x14ac:dyDescent="0.45">
      <c r="B5" s="16" t="s">
        <v>60</v>
      </c>
      <c r="C5" s="16"/>
      <c r="D5" s="149">
        <f>VENTAS!H21</f>
        <v>31634.86</v>
      </c>
      <c r="E5" s="150">
        <f>D5*1.05</f>
        <v>33216.603000000003</v>
      </c>
      <c r="F5" s="150">
        <f t="shared" si="0"/>
        <v>34877.433150000004</v>
      </c>
      <c r="G5" s="150">
        <f t="shared" si="0"/>
        <v>36621.304807500004</v>
      </c>
      <c r="H5" s="15">
        <f t="shared" si="0"/>
        <v>38452.370047875003</v>
      </c>
    </row>
    <row r="6" spans="2:11" x14ac:dyDescent="0.45">
      <c r="B6" s="16" t="s">
        <v>49</v>
      </c>
      <c r="C6" s="16"/>
      <c r="D6" s="149">
        <f>D4-D5</f>
        <v>21811.14</v>
      </c>
      <c r="E6" s="150">
        <f t="shared" ref="E6:H6" si="1">E4-E5</f>
        <v>22901.697</v>
      </c>
      <c r="F6" s="150">
        <f t="shared" si="1"/>
        <v>24046.781849999999</v>
      </c>
      <c r="G6" s="150">
        <f t="shared" si="1"/>
        <v>25249.120942500005</v>
      </c>
      <c r="H6" s="15">
        <f t="shared" si="1"/>
        <v>26511.576989625006</v>
      </c>
    </row>
    <row r="7" spans="2:11" x14ac:dyDescent="0.45">
      <c r="B7" s="16" t="s">
        <v>50</v>
      </c>
      <c r="C7" s="16"/>
      <c r="D7" s="149">
        <f>COST!F7</f>
        <v>11533</v>
      </c>
      <c r="E7" s="150">
        <f>D7*1.05</f>
        <v>12109.65</v>
      </c>
      <c r="F7" s="150">
        <f t="shared" ref="F7:H7" si="2">E7*1.05</f>
        <v>12715.1325</v>
      </c>
      <c r="G7" s="150">
        <f t="shared" si="2"/>
        <v>13350.889125</v>
      </c>
      <c r="H7" s="15">
        <f t="shared" si="2"/>
        <v>14018.433581249999</v>
      </c>
      <c r="J7" s="112">
        <f>425/400</f>
        <v>1.0625</v>
      </c>
      <c r="K7" s="112">
        <f>J7-1</f>
        <v>6.25E-2</v>
      </c>
    </row>
    <row r="8" spans="2:11" x14ac:dyDescent="0.45">
      <c r="B8" s="16" t="s">
        <v>51</v>
      </c>
      <c r="C8" s="16"/>
      <c r="D8" s="149">
        <f>COST!F14</f>
        <v>6835.2000000000007</v>
      </c>
      <c r="E8" s="150">
        <f>D8*1.05</f>
        <v>7176.9600000000009</v>
      </c>
      <c r="F8" s="150">
        <f t="shared" ref="F8:G8" si="3">E8*1.05</f>
        <v>7535.8080000000009</v>
      </c>
      <c r="G8" s="150">
        <f t="shared" si="3"/>
        <v>7912.5984000000017</v>
      </c>
      <c r="H8" s="15">
        <f>G8*1.05</f>
        <v>8308.228320000002</v>
      </c>
    </row>
    <row r="9" spans="2:11" x14ac:dyDescent="0.45">
      <c r="B9" s="16" t="s">
        <v>52</v>
      </c>
      <c r="C9" s="16"/>
      <c r="D9" s="149">
        <f>'TAB AMOR'!D5</f>
        <v>510.5800166142389</v>
      </c>
      <c r="E9" s="150">
        <f>'TAB AMOR'!D11</f>
        <v>427.29574231786756</v>
      </c>
      <c r="F9" s="150">
        <f>'TAB AMOR'!D12</f>
        <v>329.66401960604918</v>
      </c>
      <c r="G9" s="150">
        <f>'TAB AMOR'!D13</f>
        <v>215.21320208727676</v>
      </c>
      <c r="H9" s="15">
        <f>'TAB AMOR'!D14</f>
        <v>81.045850873164412</v>
      </c>
      <c r="J9" s="14"/>
      <c r="K9" s="14"/>
    </row>
    <row r="10" spans="2:11" x14ac:dyDescent="0.45">
      <c r="B10" s="16" t="s">
        <v>76</v>
      </c>
      <c r="C10" s="16"/>
      <c r="D10" s="149">
        <f>D6-D7-D8-D9</f>
        <v>2932.3599833857597</v>
      </c>
      <c r="E10" s="150">
        <f t="shared" ref="E10:H10" si="4">E6-E7-E8-E9</f>
        <v>3187.7912576821318</v>
      </c>
      <c r="F10" s="150">
        <f t="shared" si="4"/>
        <v>3466.1773303939494</v>
      </c>
      <c r="G10" s="150">
        <f t="shared" si="4"/>
        <v>3770.420215412727</v>
      </c>
      <c r="H10" s="15">
        <f t="shared" si="4"/>
        <v>4103.86923750184</v>
      </c>
      <c r="J10">
        <f>400*6.25/100</f>
        <v>25</v>
      </c>
    </row>
    <row r="11" spans="2:11" x14ac:dyDescent="0.45">
      <c r="B11" s="16" t="s">
        <v>54</v>
      </c>
      <c r="C11" s="16"/>
      <c r="D11" s="149">
        <f>D10*0.15</f>
        <v>439.85399750786394</v>
      </c>
      <c r="E11" s="150">
        <f t="shared" ref="E11:H11" si="5">E10*0.15</f>
        <v>478.16868865231976</v>
      </c>
      <c r="F11" s="150">
        <f t="shared" si="5"/>
        <v>519.92659955909244</v>
      </c>
      <c r="G11" s="150">
        <f t="shared" si="5"/>
        <v>565.56303231190907</v>
      </c>
      <c r="H11" s="15">
        <f t="shared" si="5"/>
        <v>615.58038562527599</v>
      </c>
    </row>
    <row r="12" spans="2:11" x14ac:dyDescent="0.45">
      <c r="B12" s="16" t="s">
        <v>53</v>
      </c>
      <c r="C12" s="16"/>
      <c r="D12" s="149">
        <f>D10-D11</f>
        <v>2492.5059858778959</v>
      </c>
      <c r="E12" s="150">
        <f t="shared" ref="E12:H12" si="6">E10-E11</f>
        <v>2709.622569029812</v>
      </c>
      <c r="F12" s="150">
        <f t="shared" si="6"/>
        <v>2946.2507308348568</v>
      </c>
      <c r="G12" s="150">
        <f t="shared" si="6"/>
        <v>3204.857183100818</v>
      </c>
      <c r="H12" s="15">
        <f t="shared" si="6"/>
        <v>3488.288851876564</v>
      </c>
    </row>
    <row r="13" spans="2:11" x14ac:dyDescent="0.45">
      <c r="B13" s="16" t="s">
        <v>77</v>
      </c>
      <c r="C13" s="16"/>
      <c r="D13" s="151">
        <f>28.62*12</f>
        <v>343.44</v>
      </c>
      <c r="E13" s="150">
        <f>D13*1.05</f>
        <v>360.61200000000002</v>
      </c>
      <c r="F13" s="150">
        <f t="shared" ref="F13:H13" si="7">E13*1.05</f>
        <v>378.64260000000002</v>
      </c>
      <c r="G13" s="150">
        <f t="shared" si="7"/>
        <v>397.57473000000005</v>
      </c>
      <c r="H13" s="15">
        <f t="shared" si="7"/>
        <v>417.45346650000005</v>
      </c>
    </row>
    <row r="14" spans="2:11" x14ac:dyDescent="0.45">
      <c r="B14" s="16" t="s">
        <v>55</v>
      </c>
      <c r="C14" s="16"/>
      <c r="D14" s="149">
        <f>D12-D13</f>
        <v>2149.0659858778959</v>
      </c>
      <c r="E14" s="150">
        <f t="shared" ref="E14:H14" si="8">E12-E13</f>
        <v>2349.0105690298119</v>
      </c>
      <c r="F14" s="150">
        <f t="shared" si="8"/>
        <v>2567.6081308348566</v>
      </c>
      <c r="G14" s="150">
        <f t="shared" si="8"/>
        <v>2807.2824531008182</v>
      </c>
      <c r="H14" s="15">
        <f t="shared" si="8"/>
        <v>3070.8353853765639</v>
      </c>
    </row>
    <row r="15" spans="2:11" x14ac:dyDescent="0.45">
      <c r="B15" s="16" t="s">
        <v>56</v>
      </c>
      <c r="C15" s="16"/>
      <c r="D15" s="149">
        <f>DEP!E11</f>
        <v>1640</v>
      </c>
      <c r="E15" s="150">
        <f>DEP!F11</f>
        <v>1640</v>
      </c>
      <c r="F15" s="150">
        <f>DEP!G11</f>
        <v>1640</v>
      </c>
      <c r="G15" s="150">
        <f>DEP!H11</f>
        <v>1560</v>
      </c>
      <c r="H15" s="15">
        <f>DEP!I11</f>
        <v>1560</v>
      </c>
    </row>
    <row r="16" spans="2:11" x14ac:dyDescent="0.45">
      <c r="B16" s="16" t="s">
        <v>57</v>
      </c>
      <c r="C16" s="16"/>
      <c r="D16" s="149">
        <f>DEP!E18</f>
        <v>120</v>
      </c>
      <c r="E16" s="150">
        <f>DEP!F18</f>
        <v>120</v>
      </c>
      <c r="F16" s="150">
        <f>DEP!G18</f>
        <v>120</v>
      </c>
      <c r="G16" s="150">
        <f>DEP!H18</f>
        <v>120</v>
      </c>
      <c r="H16" s="15">
        <f>DEP!I18</f>
        <v>120</v>
      </c>
    </row>
    <row r="17" spans="2:8" x14ac:dyDescent="0.45">
      <c r="B17" s="16" t="s">
        <v>58</v>
      </c>
      <c r="C17" s="16"/>
      <c r="D17" s="149">
        <f>'TAB AMOR'!E5</f>
        <v>483.44974968548013</v>
      </c>
      <c r="E17" s="150">
        <f>'TAB AMOR'!E11</f>
        <v>566.73402398185135</v>
      </c>
      <c r="F17" s="150">
        <f>'TAB AMOR'!E12</f>
        <v>664.36574669366973</v>
      </c>
      <c r="G17" s="150">
        <f>'TAB AMOR'!E13</f>
        <v>778.81656421244236</v>
      </c>
      <c r="H17" s="15">
        <f>'TAB AMOR'!E14</f>
        <v>912.98391542655452</v>
      </c>
    </row>
    <row r="18" spans="2:8" x14ac:dyDescent="0.45">
      <c r="B18" s="16" t="s">
        <v>59</v>
      </c>
      <c r="C18" s="15">
        <f>BGENE!C18*-1</f>
        <v>-13045.616236192416</v>
      </c>
      <c r="D18" s="150">
        <f>D14+D15+D16-D17</f>
        <v>3425.6162361924157</v>
      </c>
      <c r="E18" s="150">
        <f t="shared" ref="E18:H18" si="9">E14+E15+E16-E17</f>
        <v>3542.2765450479601</v>
      </c>
      <c r="F18" s="150">
        <f t="shared" si="9"/>
        <v>3663.2423841411869</v>
      </c>
      <c r="G18" s="150">
        <f t="shared" si="9"/>
        <v>3708.465888888376</v>
      </c>
      <c r="H18" s="15">
        <f t="shared" si="9"/>
        <v>3837.8514699500092</v>
      </c>
    </row>
    <row r="21" spans="2:8" x14ac:dyDescent="0.45">
      <c r="C21" s="98">
        <f>NPV('VAN-TIR'!D17,ER!D18:H18)+ER!C18</f>
        <v>-1984.4832627664728</v>
      </c>
    </row>
    <row r="22" spans="2:8" x14ac:dyDescent="0.45">
      <c r="C22" s="104">
        <f>IRR(C18:H18)</f>
        <v>0.11935553393172427</v>
      </c>
    </row>
    <row r="26" spans="2:8" x14ac:dyDescent="0.45">
      <c r="B26" s="54" t="s">
        <v>59</v>
      </c>
      <c r="C26" s="55" t="s">
        <v>94</v>
      </c>
      <c r="D26" s="153" t="s">
        <v>95</v>
      </c>
      <c r="E26" s="153" t="s">
        <v>96</v>
      </c>
      <c r="F26" s="153" t="s">
        <v>97</v>
      </c>
      <c r="G26" s="153" t="s">
        <v>98</v>
      </c>
    </row>
    <row r="27" spans="2:8" x14ac:dyDescent="0.45">
      <c r="B27" s="54" t="s">
        <v>99</v>
      </c>
      <c r="C27" s="56">
        <v>0</v>
      </c>
      <c r="D27" s="154">
        <f>C37</f>
        <v>3425.6162361924144</v>
      </c>
      <c r="E27" s="154">
        <f t="shared" ref="E27:G27" si="10">D37</f>
        <v>6967.8927812403781</v>
      </c>
      <c r="F27" s="154">
        <f t="shared" si="10"/>
        <v>10631.135165381565</v>
      </c>
      <c r="G27" s="154">
        <f t="shared" si="10"/>
        <v>14339.601054269944</v>
      </c>
    </row>
    <row r="28" spans="2:8" x14ac:dyDescent="0.45">
      <c r="B28" s="54" t="s">
        <v>48</v>
      </c>
      <c r="C28" s="58">
        <f>D4</f>
        <v>53446</v>
      </c>
      <c r="D28" s="155">
        <f>E4</f>
        <v>56118.3</v>
      </c>
      <c r="E28" s="155">
        <f t="shared" ref="E28:G28" si="11">F4</f>
        <v>58924.215000000004</v>
      </c>
      <c r="F28" s="155">
        <f t="shared" si="11"/>
        <v>61870.425750000009</v>
      </c>
      <c r="G28" s="155">
        <f t="shared" si="11"/>
        <v>64963.947037500009</v>
      </c>
    </row>
    <row r="29" spans="2:8" x14ac:dyDescent="0.45">
      <c r="B29" s="54" t="s">
        <v>100</v>
      </c>
      <c r="C29" s="58">
        <f>C28+C27</f>
        <v>53446</v>
      </c>
      <c r="D29" s="155">
        <f>D28+D27</f>
        <v>59543.916236192417</v>
      </c>
      <c r="E29" s="155">
        <f>E28+E27</f>
        <v>65892.107781240382</v>
      </c>
      <c r="F29" s="155">
        <f t="shared" ref="F29:G29" si="12">F28+F27</f>
        <v>72501.560915381575</v>
      </c>
      <c r="G29" s="155">
        <f t="shared" si="12"/>
        <v>79303.548091769946</v>
      </c>
    </row>
    <row r="30" spans="2:8" x14ac:dyDescent="0.45">
      <c r="B30" s="54"/>
      <c r="C30" s="56"/>
      <c r="D30" s="156"/>
      <c r="E30" s="156"/>
      <c r="F30" s="156"/>
      <c r="G30" s="156"/>
    </row>
    <row r="31" spans="2:8" x14ac:dyDescent="0.45">
      <c r="B31" s="54" t="s">
        <v>101</v>
      </c>
      <c r="C31" s="58">
        <f>D5</f>
        <v>31634.86</v>
      </c>
      <c r="D31" s="157">
        <f>E5</f>
        <v>33216.603000000003</v>
      </c>
      <c r="E31" s="157">
        <f t="shared" ref="E31:G31" si="13">F5</f>
        <v>34877.433150000004</v>
      </c>
      <c r="F31" s="157">
        <f t="shared" si="13"/>
        <v>36621.304807500004</v>
      </c>
      <c r="G31" s="157">
        <f t="shared" si="13"/>
        <v>38452.370047875003</v>
      </c>
    </row>
    <row r="32" spans="2:8" x14ac:dyDescent="0.45">
      <c r="B32" s="54" t="s">
        <v>102</v>
      </c>
      <c r="C32" s="59">
        <f>D7+D8-D15-D16</f>
        <v>16608.2</v>
      </c>
      <c r="D32" s="158">
        <f>E7+E8-E15-E16</f>
        <v>17526.61</v>
      </c>
      <c r="E32" s="158">
        <f t="shared" ref="E32:G32" si="14">F7+F8-F15-F16</f>
        <v>18490.940500000001</v>
      </c>
      <c r="F32" s="158">
        <f t="shared" si="14"/>
        <v>19583.487525</v>
      </c>
      <c r="G32" s="158">
        <f t="shared" si="14"/>
        <v>20646.661901250001</v>
      </c>
      <c r="H32" s="14">
        <f>C32*1.05</f>
        <v>17438.61</v>
      </c>
    </row>
    <row r="33" spans="2:7" x14ac:dyDescent="0.45">
      <c r="B33" s="60" t="s">
        <v>54</v>
      </c>
      <c r="C33" s="59">
        <f>D11</f>
        <v>439.85399750786394</v>
      </c>
      <c r="D33" s="158">
        <f t="shared" ref="D33:G33" si="15">E11</f>
        <v>478.16868865231976</v>
      </c>
      <c r="E33" s="158">
        <f t="shared" si="15"/>
        <v>519.92659955909244</v>
      </c>
      <c r="F33" s="158">
        <f t="shared" si="15"/>
        <v>565.56303231190907</v>
      </c>
      <c r="G33" s="158">
        <f t="shared" si="15"/>
        <v>615.58038562527599</v>
      </c>
    </row>
    <row r="34" spans="2:7" x14ac:dyDescent="0.45">
      <c r="B34" s="54" t="s">
        <v>103</v>
      </c>
      <c r="C34" s="58">
        <f>D9+D17</f>
        <v>994.02976629971909</v>
      </c>
      <c r="D34" s="157">
        <f>E9+E17</f>
        <v>994.02976629971886</v>
      </c>
      <c r="E34" s="157">
        <f t="shared" ref="E34:G34" si="16">F9+F17</f>
        <v>994.02976629971886</v>
      </c>
      <c r="F34" s="157">
        <f t="shared" si="16"/>
        <v>994.02976629971909</v>
      </c>
      <c r="G34" s="157">
        <f t="shared" si="16"/>
        <v>994.02976629971897</v>
      </c>
    </row>
    <row r="35" spans="2:7" x14ac:dyDescent="0.45">
      <c r="B35" s="54" t="s">
        <v>107</v>
      </c>
      <c r="C35" s="58">
        <f>D13</f>
        <v>343.44</v>
      </c>
      <c r="D35" s="155">
        <f>E13</f>
        <v>360.61200000000002</v>
      </c>
      <c r="E35" s="155">
        <f t="shared" ref="E35:G35" si="17">F13</f>
        <v>378.64260000000002</v>
      </c>
      <c r="F35" s="155">
        <f t="shared" si="17"/>
        <v>397.57473000000005</v>
      </c>
      <c r="G35" s="155">
        <f t="shared" si="17"/>
        <v>417.45346650000005</v>
      </c>
    </row>
    <row r="36" spans="2:7" x14ac:dyDescent="0.45">
      <c r="B36" s="54" t="s">
        <v>104</v>
      </c>
      <c r="C36" s="59">
        <f>C32+C34+C31+C33+C35</f>
        <v>50020.383763807586</v>
      </c>
      <c r="D36" s="158">
        <f t="shared" ref="D36:G36" si="18">D32+D34+D31+D33+D35</f>
        <v>52576.023454952039</v>
      </c>
      <c r="E36" s="158">
        <f t="shared" si="18"/>
        <v>55260.972615858816</v>
      </c>
      <c r="F36" s="158">
        <f t="shared" si="18"/>
        <v>58161.959861111631</v>
      </c>
      <c r="G36" s="158">
        <f t="shared" si="18"/>
        <v>61126.095567550001</v>
      </c>
    </row>
    <row r="37" spans="2:7" x14ac:dyDescent="0.45">
      <c r="B37" s="54" t="s">
        <v>105</v>
      </c>
      <c r="C37" s="61">
        <f>C28-C36</f>
        <v>3425.6162361924144</v>
      </c>
      <c r="D37" s="159">
        <f>D29-D36</f>
        <v>6967.8927812403781</v>
      </c>
      <c r="E37" s="159">
        <f t="shared" ref="E37:F37" si="19">E29-E36</f>
        <v>10631.135165381565</v>
      </c>
      <c r="F37" s="159">
        <f t="shared" si="19"/>
        <v>14339.601054269944</v>
      </c>
      <c r="G37" s="159">
        <f>G29-G36</f>
        <v>18177.452524219945</v>
      </c>
    </row>
    <row r="38" spans="2:7" x14ac:dyDescent="0.45">
      <c r="B38" s="54"/>
      <c r="C38" s="54"/>
      <c r="D38" s="160"/>
      <c r="E38" s="160"/>
      <c r="F38" s="160"/>
      <c r="G38" s="160"/>
    </row>
    <row r="39" spans="2:7" x14ac:dyDescent="0.45">
      <c r="B39" s="54" t="s">
        <v>106</v>
      </c>
      <c r="C39" s="62">
        <f>D18</f>
        <v>3425.6162361924157</v>
      </c>
      <c r="D39" s="161">
        <f>E18</f>
        <v>3542.2765450479601</v>
      </c>
      <c r="E39" s="161">
        <f t="shared" ref="E39:G39" si="20">F18</f>
        <v>3663.2423841411869</v>
      </c>
      <c r="F39" s="161">
        <f t="shared" si="20"/>
        <v>3708.465888888376</v>
      </c>
      <c r="G39" s="161">
        <f t="shared" si="20"/>
        <v>3837.8514699500092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DEMANDA</vt:lpstr>
      <vt:lpstr>TAB AMOR</vt:lpstr>
      <vt:lpstr>VENTAS</vt:lpstr>
      <vt:lpstr>PROMO</vt:lpstr>
      <vt:lpstr>PRESMKT</vt:lpstr>
      <vt:lpstr>SYS</vt:lpstr>
      <vt:lpstr>DEP</vt:lpstr>
      <vt:lpstr>COST</vt:lpstr>
      <vt:lpstr>ER</vt:lpstr>
      <vt:lpstr>VAN-TIR</vt:lpstr>
      <vt:lpstr>ACUMUL</vt:lpstr>
      <vt:lpstr>BGENE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Carlos</cp:lastModifiedBy>
  <dcterms:created xsi:type="dcterms:W3CDTF">2022-03-03T23:46:35Z</dcterms:created>
  <dcterms:modified xsi:type="dcterms:W3CDTF">2024-04-30T22:27:57Z</dcterms:modified>
</cp:coreProperties>
</file>