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INTY\Desktop\ESCRITORIO\conta empresarial\ESTADOS FINANCIEROS E INDICADORES\"/>
    </mc:Choice>
  </mc:AlternateContent>
  <xr:revisionPtr revIDLastSave="0" documentId="13_ncr:1_{FE2ADC08-9BF4-47BC-9428-6D45BA844BC4}" xr6:coauthVersionLast="47" xr6:coauthVersionMax="47" xr10:uidLastSave="{00000000-0000-0000-0000-000000000000}"/>
  <bookViews>
    <workbookView xWindow="-110" yWindow="-110" windowWidth="19420" windowHeight="10300" firstSheet="2" activeTab="3" xr2:uid="{A0164C3B-1AE0-46CA-971D-FCC6ED840C8A}"/>
  </bookViews>
  <sheets>
    <sheet name="Balance de Comprobación" sheetId="1" r:id="rId1"/>
    <sheet name="Estado de Resultados" sheetId="3" r:id="rId2"/>
    <sheet name="Balance General" sheetId="4" r:id="rId3"/>
    <sheet name="Indicadores Financieros eeff" sheetId="6" r:id="rId4"/>
    <sheet name="Indicadores Financieros" sheetId="5" state="hidden"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4" l="1"/>
  <c r="A42" i="4"/>
  <c r="A33" i="4"/>
  <c r="A32" i="4"/>
  <c r="A28" i="4"/>
  <c r="A29" i="4"/>
  <c r="A30" i="4"/>
  <c r="A31" i="4"/>
  <c r="A35" i="4"/>
  <c r="A40" i="4"/>
  <c r="A45" i="4"/>
  <c r="A27" i="4"/>
  <c r="B14" i="4"/>
  <c r="A7" i="4"/>
  <c r="A20" i="4"/>
  <c r="A21" i="4"/>
  <c r="A22" i="4"/>
  <c r="A14" i="4"/>
  <c r="A15" i="4"/>
  <c r="A16" i="4"/>
  <c r="A17" i="4"/>
  <c r="A18" i="4"/>
  <c r="A19" i="4"/>
  <c r="A13" i="4"/>
  <c r="A11" i="4"/>
  <c r="A8" i="4"/>
  <c r="A9" i="4"/>
  <c r="A10" i="4"/>
  <c r="A13" i="3"/>
  <c r="B17" i="3"/>
  <c r="B18" i="3"/>
  <c r="B19" i="3"/>
  <c r="B20" i="3"/>
  <c r="B13" i="3"/>
  <c r="A14" i="3"/>
  <c r="A15" i="3"/>
  <c r="A16" i="3"/>
  <c r="A17" i="3"/>
  <c r="A18" i="3"/>
  <c r="A19" i="3"/>
  <c r="A20" i="3"/>
  <c r="A21" i="3"/>
  <c r="A22" i="3"/>
  <c r="A23" i="3"/>
  <c r="A24" i="3"/>
  <c r="A26" i="3"/>
  <c r="F28" i="1"/>
  <c r="B40" i="4" s="1"/>
  <c r="C39" i="4" s="1"/>
  <c r="C42" i="1"/>
  <c r="B23" i="3" s="1"/>
  <c r="C36" i="1"/>
  <c r="C35" i="1"/>
  <c r="B16" i="3" s="1"/>
  <c r="C32" i="1"/>
  <c r="C33" i="1" s="1"/>
  <c r="D31" i="1"/>
  <c r="C31" i="1"/>
  <c r="E31" i="1" s="1"/>
  <c r="D9" i="3" s="1"/>
  <c r="D30" i="1"/>
  <c r="D25" i="1"/>
  <c r="D21" i="1"/>
  <c r="D19" i="1"/>
  <c r="D17" i="1"/>
  <c r="D15" i="1"/>
  <c r="D13" i="1"/>
  <c r="F13" i="1"/>
  <c r="C43" i="1" s="1"/>
  <c r="B24" i="3" s="1"/>
  <c r="C11" i="1"/>
  <c r="B14" i="3" l="1"/>
  <c r="C34" i="1"/>
  <c r="B15" i="3" s="1"/>
  <c r="E32" i="1"/>
  <c r="E33" i="1" s="1"/>
  <c r="E43" i="1" l="1"/>
  <c r="E42" i="1"/>
  <c r="E39" i="1"/>
  <c r="E38" i="1"/>
  <c r="E37" i="1"/>
  <c r="E36" i="1"/>
  <c r="E35" i="1"/>
  <c r="E34" i="1"/>
  <c r="F30" i="1"/>
  <c r="F29" i="1"/>
  <c r="B45" i="4" s="1"/>
  <c r="F27" i="1"/>
  <c r="B35" i="4" s="1"/>
  <c r="C34" i="4" s="1"/>
  <c r="F26" i="1"/>
  <c r="B31" i="4" s="1"/>
  <c r="F25" i="1"/>
  <c r="B30" i="4" s="1"/>
  <c r="F24" i="1"/>
  <c r="B29" i="4" s="1"/>
  <c r="F23" i="1"/>
  <c r="B28" i="4" s="1"/>
  <c r="F22" i="1"/>
  <c r="B27" i="4" s="1"/>
  <c r="F21" i="1"/>
  <c r="F19" i="1"/>
  <c r="E20" i="1"/>
  <c r="B21" i="4" s="1"/>
  <c r="E18" i="1"/>
  <c r="B19" i="4" s="1"/>
  <c r="F17" i="1"/>
  <c r="E16" i="1"/>
  <c r="B17" i="4" s="1"/>
  <c r="F15" i="1"/>
  <c r="E14" i="1"/>
  <c r="B15" i="4" s="1"/>
  <c r="E12" i="1"/>
  <c r="B13" i="4" s="1"/>
  <c r="E11" i="1"/>
  <c r="B11" i="4" s="1"/>
  <c r="E10" i="1"/>
  <c r="B10" i="4" s="1"/>
  <c r="E9" i="1"/>
  <c r="B9" i="4" s="1"/>
  <c r="E8" i="1"/>
  <c r="B8" i="4" s="1"/>
  <c r="E7" i="1"/>
  <c r="C41" i="1" l="1"/>
  <c r="B20" i="4"/>
  <c r="B22" i="4"/>
  <c r="C40" i="1"/>
  <c r="B16" i="4"/>
  <c r="B7" i="4"/>
  <c r="C6" i="4" s="1"/>
  <c r="B18" i="4"/>
  <c r="C44" i="1"/>
  <c r="C7" i="3"/>
  <c r="D8" i="3" s="1"/>
  <c r="D10" i="3" s="1"/>
  <c r="F45" i="1"/>
  <c r="C12" i="4" l="1"/>
  <c r="C23" i="4" s="1"/>
  <c r="B21" i="3"/>
  <c r="C45" i="1"/>
  <c r="E40" i="1"/>
  <c r="B22" i="3"/>
  <c r="E41" i="1"/>
  <c r="B26" i="3"/>
  <c r="C25" i="3" s="1"/>
  <c r="E44" i="1"/>
  <c r="C12" i="3" l="1"/>
  <c r="D27" i="3" s="1"/>
  <c r="D28" i="3" s="1"/>
  <c r="E45" i="1"/>
  <c r="D32" i="3" l="1"/>
  <c r="D33" i="3" s="1"/>
  <c r="C5" i="5"/>
  <c r="C5" i="6"/>
  <c r="D34" i="3"/>
  <c r="D35" i="3" s="1"/>
  <c r="B32" i="4"/>
  <c r="D36" i="3" l="1"/>
  <c r="D37" i="3" s="1"/>
  <c r="B33" i="4"/>
  <c r="C26" i="4" s="1"/>
  <c r="C3" i="6" l="1"/>
  <c r="C2" i="6"/>
  <c r="C4" i="6"/>
  <c r="C36" i="4"/>
  <c r="C2" i="5"/>
  <c r="C4" i="5"/>
  <c r="C3" i="5"/>
  <c r="D38" i="3"/>
  <c r="B44" i="4" s="1"/>
  <c r="B42" i="4"/>
  <c r="C41" i="4" s="1"/>
  <c r="C43" i="4" l="1"/>
  <c r="C7" i="6"/>
  <c r="C7" i="5"/>
  <c r="C6" i="6"/>
  <c r="C6" i="5"/>
  <c r="C9" i="6"/>
  <c r="C9" i="5"/>
  <c r="C8" i="6"/>
  <c r="C8" i="5"/>
  <c r="C46" i="4"/>
  <c r="C47" i="4" s="1"/>
  <c r="D45" i="1"/>
  <c r="D47" i="1" s="1"/>
</calcChain>
</file>

<file path=xl/sharedStrings.xml><?xml version="1.0" encoding="utf-8"?>
<sst xmlns="http://schemas.openxmlformats.org/spreadsheetml/2006/main" count="150" uniqueCount="125">
  <si>
    <t>BALANCE DE COMPROBACIÓN</t>
  </si>
  <si>
    <t>DESCRIPCIÓN</t>
  </si>
  <si>
    <t>SUMAS</t>
  </si>
  <si>
    <t>SALDOS</t>
  </si>
  <si>
    <t>DEBE</t>
  </si>
  <si>
    <t>HABER</t>
  </si>
  <si>
    <t>DEUDOR</t>
  </si>
  <si>
    <t>ACREEDOR</t>
  </si>
  <si>
    <t>Caja</t>
  </si>
  <si>
    <t>Bancos</t>
  </si>
  <si>
    <t>Cuentas por cobrar</t>
  </si>
  <si>
    <t>IVA en Compras</t>
  </si>
  <si>
    <t>Maquinaria y Equipos</t>
  </si>
  <si>
    <t>(-) Depreciación Acumulada Maquinaria</t>
  </si>
  <si>
    <t>Edificios</t>
  </si>
  <si>
    <t>(-) Depreciación Acumulada Edificios</t>
  </si>
  <si>
    <t>Vehículos</t>
  </si>
  <si>
    <t>(-) Depreciación Acumulada Vehículos</t>
  </si>
  <si>
    <t>Equipos de Cómputo</t>
  </si>
  <si>
    <t>(-) Depreciación Acumulada Equipo de Cómputo</t>
  </si>
  <si>
    <t>Muebles y Enseres</t>
  </si>
  <si>
    <t>(-) Depreciación Acumulada Muebles y Enseres</t>
  </si>
  <si>
    <t xml:space="preserve">Documentos por Pagar </t>
  </si>
  <si>
    <t xml:space="preserve">Aporte Personal IESS por Pagar </t>
  </si>
  <si>
    <t>Préstamos IESS por pagar</t>
  </si>
  <si>
    <t>Otras Cuentas por pagar</t>
  </si>
  <si>
    <t>Préstamos Bancarios a Largo Plazo</t>
  </si>
  <si>
    <t>Utilidades Acumuladas de ejercicios anteriores</t>
  </si>
  <si>
    <t>Décimo tercer sueldo</t>
  </si>
  <si>
    <t>Décimo cuarto sueldo</t>
  </si>
  <si>
    <t>Fondos de reserva</t>
  </si>
  <si>
    <t>Aporte patronal</t>
  </si>
  <si>
    <t>Seguros</t>
  </si>
  <si>
    <t>Teléfono</t>
  </si>
  <si>
    <t>Depreciación de Muebles y Enseres</t>
  </si>
  <si>
    <t>Depreciación de Equipos de Cómputo</t>
  </si>
  <si>
    <t>Depreciación de Edificios</t>
  </si>
  <si>
    <t>Depreciación de Maquinarias</t>
  </si>
  <si>
    <t>Depreciación de Vehículos</t>
  </si>
  <si>
    <t>TOTAL</t>
  </si>
  <si>
    <t>EMPRESA COMERCIAL ELECTROECUADOR</t>
  </si>
  <si>
    <t>AL 31 DE OCTUBRE DE 2024</t>
  </si>
  <si>
    <t>RECONOCIMIENTO DE CUENTAS</t>
  </si>
  <si>
    <t>Inventario de Mercaderías</t>
  </si>
  <si>
    <t>IVA Cobrado</t>
  </si>
  <si>
    <t>Capital Suscrito y Pagado</t>
  </si>
  <si>
    <t>Ventas productos gravados 15%</t>
  </si>
  <si>
    <t>Costo de Ventas</t>
  </si>
  <si>
    <t>Energía Eléctrica</t>
  </si>
  <si>
    <t>ESTADO DE RESULTADOS</t>
  </si>
  <si>
    <t>25% Impuesto a la Renta</t>
  </si>
  <si>
    <t>Utilidada antes de Reservas</t>
  </si>
  <si>
    <t>10% Reserva Legal</t>
  </si>
  <si>
    <t>SUBTOTAL</t>
  </si>
  <si>
    <t>CUENTAS</t>
  </si>
  <si>
    <t xml:space="preserve"> (-) Costos de Ventas</t>
  </si>
  <si>
    <t xml:space="preserve"> (=)Utilidad bruta en ventas</t>
  </si>
  <si>
    <t>Gastos Administrativos</t>
  </si>
  <si>
    <t>Gastos de Ventas</t>
  </si>
  <si>
    <t>Sueldos y Salarios del personal administrativo</t>
  </si>
  <si>
    <t>Gastos Financieros</t>
  </si>
  <si>
    <t>Comisiones Bancarias</t>
  </si>
  <si>
    <t>Utilidad del ejercicio</t>
  </si>
  <si>
    <t>Utilidad antes de impuestos</t>
  </si>
  <si>
    <t>Utilidad Neta del peridodo</t>
  </si>
  <si>
    <t>PARCIAL</t>
  </si>
  <si>
    <t xml:space="preserve"> (+)Total ingresos operacionales</t>
  </si>
  <si>
    <t>GASTOS OPERACIONALES</t>
  </si>
  <si>
    <t xml:space="preserve">     Venta de productos tarifa 15%</t>
  </si>
  <si>
    <t xml:space="preserve">     INGRESOS OPERACIONALES</t>
  </si>
  <si>
    <t>(-) Total gastos operacionales</t>
  </si>
  <si>
    <t>(=) Utilidad operacional</t>
  </si>
  <si>
    <t>(-) GASTOS NO OPERACIONALES</t>
  </si>
  <si>
    <t>ACTIVO</t>
  </si>
  <si>
    <t>ACTIVO CORRIENTE</t>
  </si>
  <si>
    <t>ACTIVO NO CORRIENTE</t>
  </si>
  <si>
    <t>TOTAL ACTIVO</t>
  </si>
  <si>
    <t>PASIVO</t>
  </si>
  <si>
    <t>PASIVO CORRIENTE</t>
  </si>
  <si>
    <t>PASIVO NO CORRIENTE</t>
  </si>
  <si>
    <t>PATRIMONIO</t>
  </si>
  <si>
    <t>CAPITAL</t>
  </si>
  <si>
    <t>RESERVAS</t>
  </si>
  <si>
    <t>TOTAL PASIVO Y PATRIMONIO</t>
  </si>
  <si>
    <t>TOTAL PASIVOS</t>
  </si>
  <si>
    <t>RESULTADOS</t>
  </si>
  <si>
    <t>15% Participación de los trabajadores</t>
  </si>
  <si>
    <t>BALANCE GENERAL</t>
  </si>
  <si>
    <t>Indicador Financiero</t>
  </si>
  <si>
    <t>Fórmula</t>
  </si>
  <si>
    <t>Para qué? / Qué mide?</t>
  </si>
  <si>
    <t>Capital de Trabajo</t>
  </si>
  <si>
    <t>Activo Corriente - Pasivo Corriente</t>
  </si>
  <si>
    <t>Mide la capacidad de la empresa para continuar sus operaciones en el corto plazo. Indica si la empresa tiene suficientes recursos líquidos para cubrir sus obligaciones.</t>
  </si>
  <si>
    <t>Liquidez</t>
  </si>
  <si>
    <t>Activo Corriente / Pasivo Corriente</t>
  </si>
  <si>
    <t>Evalúa la capacidad de la empresa para cumplir sus obligaciones a corto plazo. Un ratio mayor indica alcalde de pago.</t>
  </si>
  <si>
    <t>(Activo Corriente - Inventarios) / Pasivo Corriente</t>
  </si>
  <si>
    <t>Es una medida más estricta de liquidez que excluye los inventarios. Muestra la capacidad de la empresa para pagar sus deudas sin depender de la venta de inventario.</t>
  </si>
  <si>
    <t>Ganancia Operativa / Ventas Totales</t>
  </si>
  <si>
    <t>Mide qué porcentaje de las ventas se convierten en ganancias. Un ratio más alto indica mayor eficiencia eficiencia.</t>
  </si>
  <si>
    <t>Ganancia Neta / Capital Propio</t>
  </si>
  <si>
    <t>Indica la rentabilidad respecto a la capital de los accionistas. Un valor más alto muestra un alcalde rentabilidad para los accionistas.</t>
  </si>
  <si>
    <t>ROA (Retorno de Actos) Retorno sobre activos</t>
  </si>
  <si>
    <t>Ganancia Neta / Total de Activos</t>
  </si>
  <si>
    <t>Mide la eficiencia en el uso de los activos para obtener ganancias. Un valor más alto indica una eficiencia de la gestión de activos.</t>
  </si>
  <si>
    <t>Apalancamiento Financiero</t>
  </si>
  <si>
    <t>Total de Pasivos / Total de Activos</t>
  </si>
  <si>
    <t>Indica el grado en que la empresa utiliza la deuda para financiar sus activos. Un ratio más alto indica un alcalde apalancamiento.</t>
  </si>
  <si>
    <t>Ratio de Endeudamiento</t>
  </si>
  <si>
    <t>Total de Deuda / Capital Propio</t>
  </si>
  <si>
    <t>Muestra la proporción de la capital de la empresa que se avia de deuda. Un valor más alto mayor, la dependencia de la financiación externa.</t>
  </si>
  <si>
    <t>Prueba Ácida</t>
  </si>
  <si>
    <t>Valor</t>
  </si>
  <si>
    <t>ROS Retorno sobre ventas</t>
  </si>
  <si>
    <t>ROE  Retorno sobre el patrimonio o capital propio</t>
  </si>
  <si>
    <t>TOTAL PATRIMONIO</t>
  </si>
  <si>
    <t>El capital de trabajo positivo indica que la empresa tiene suficientes activos corrientes para cubrir sus pasivos corrientes. Un valor de 12.285.77 refleja una buena capacidad para continuar operando sin problemas financieros a corto plazo</t>
  </si>
  <si>
    <t>Un ratio de liquidez de 2.40 indica que la empresa tiene $2.40 en activos corrientes por cada $1 en pasivos corrientes, lo que es un signo positivo de solvencia a corto plazo.</t>
  </si>
  <si>
    <t>Con un valor de 2.10, la prueba ácida muestra que la empresa puede cubrir sus deudas a corto plazo sin depender de la venta de inventarios, mostrando una buena gestión.</t>
  </si>
  <si>
    <t>Un retorno sobre ventas del 0.76% es bajo, lo que indica que solo el 0.76% de las ventas de la empresa se convierte en ganancia; por lo cual se refleja los márgenes de beneficio muy pequeños en la empresa.</t>
  </si>
  <si>
    <t>Un ROE de 0.06% es extremadamente bajo, lo que indica que la empresa no está generando un retorno significativo para sus accionistas; por lo cual, se recomienda evaluar acciones para mejorar la rentabilidad.</t>
  </si>
  <si>
    <t>Con un ROA de 0.04%, la empresa muestra una muy baja eficiencia en la utilización de sus activos para generar ganancias, por lo cual, se recomienda a la empresa mejorar la gestión de sus recursos (como optimización de costos operativos, negociaciones adecuadas con proveedores, lanzamiento de nuevos productos, revaluar políticas de crédito, etc.</t>
  </si>
  <si>
    <t>Considerando que el apalancamiento financiero es el uso de la deuda para financiar la compra de activos; un apalancamiento de 0.37 significa que la empresa tiene un nivel moderado de deuda en relación con sus activos; pues el apalancamiento está controlado y no pone en riesgo excesivo a la empresa.</t>
  </si>
  <si>
    <t xml:space="preserve">Un ratio de endeudamiento de 0.60 indica que el 60% del capital de la empresa está financiado por deuda; aunque es una proporción aceptable, es importante monitorear para que no crezca más allá de los límites recomendados. (Aceptable: 50%, Moderado: 50% a 60%, Alto: 60% a 70%, Elevado: 70% a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</si>
</sst>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2" formatCode="_-* #,##0.0000_-;\-* #,##0.0000_-;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Times New Roman"/>
      <family val="1"/>
    </font>
    <font>
      <sz val="10"/>
      <color theme="1"/>
      <name val="Times New Roman"/>
      <family val="1"/>
    </font>
    <font>
      <b/>
      <sz val="10"/>
      <color theme="1"/>
      <name val="Times New Roman"/>
      <family val="1"/>
    </font>
    <font>
      <b/>
      <sz val="11"/>
      <color theme="1"/>
      <name val="Times New Roman"/>
      <family val="1"/>
    </font>
    <font>
      <u/>
      <sz val="11"/>
      <color theme="1"/>
      <name val="Aptos Narrow"/>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0" fillId="2" borderId="0" xfId="0" applyFill="1"/>
    <xf numFmtId="43" fontId="0" fillId="2" borderId="0" xfId="1" applyFont="1" applyFill="1"/>
    <xf numFmtId="0" fontId="3" fillId="2" borderId="0" xfId="0" applyFont="1" applyFill="1"/>
    <xf numFmtId="43" fontId="3" fillId="2" borderId="0" xfId="1" applyFont="1" applyFill="1"/>
    <xf numFmtId="0" fontId="4" fillId="2" borderId="0" xfId="0" applyFont="1" applyFill="1"/>
    <xf numFmtId="43" fontId="4" fillId="2" borderId="0" xfId="1" applyFont="1" applyFill="1"/>
    <xf numFmtId="0" fontId="5" fillId="2" borderId="0" xfId="0" applyFont="1" applyFill="1" applyAlignment="1">
      <alignment horizontal="center"/>
    </xf>
    <xf numFmtId="0" fontId="4" fillId="2" borderId="1" xfId="0" applyFont="1" applyFill="1" applyBorder="1" applyAlignment="1">
      <alignment horizontal="center" wrapText="1"/>
    </xf>
    <xf numFmtId="43" fontId="4" fillId="2" borderId="1" xfId="1" applyFont="1" applyFill="1" applyBorder="1" applyAlignment="1">
      <alignment horizontal="center" wrapText="1"/>
    </xf>
    <xf numFmtId="43" fontId="4" fillId="2" borderId="1" xfId="1" applyFont="1" applyFill="1" applyBorder="1" applyAlignment="1">
      <alignment wrapText="1"/>
    </xf>
    <xf numFmtId="0" fontId="4" fillId="2" borderId="1" xfId="0" applyFont="1" applyFill="1" applyBorder="1"/>
    <xf numFmtId="43" fontId="4" fillId="2" borderId="1" xfId="1" applyFont="1" applyFill="1" applyBorder="1"/>
    <xf numFmtId="43" fontId="4" fillId="2" borderId="0" xfId="0" applyNumberFormat="1" applyFont="1" applyFill="1"/>
    <xf numFmtId="0" fontId="6" fillId="2" borderId="0" xfId="0" applyFont="1" applyFill="1"/>
    <xf numFmtId="43" fontId="6" fillId="2" borderId="0" xfId="1" applyFont="1" applyFill="1" applyBorder="1"/>
    <xf numFmtId="43" fontId="3" fillId="2" borderId="0" xfId="1" applyFont="1" applyFill="1" applyBorder="1"/>
    <xf numFmtId="43" fontId="3" fillId="2" borderId="2" xfId="1" applyFont="1" applyFill="1" applyBorder="1"/>
    <xf numFmtId="43" fontId="6" fillId="2" borderId="3" xfId="1" applyFont="1" applyFill="1" applyBorder="1"/>
    <xf numFmtId="43" fontId="3" fillId="2" borderId="3" xfId="1" applyFont="1" applyFill="1" applyBorder="1"/>
    <xf numFmtId="43" fontId="5" fillId="2" borderId="0" xfId="1" applyFont="1" applyFill="1"/>
    <xf numFmtId="0" fontId="6" fillId="2" borderId="4" xfId="0" applyFont="1" applyFill="1" applyBorder="1"/>
    <xf numFmtId="43" fontId="6" fillId="2" borderId="5" xfId="1" applyFont="1" applyFill="1" applyBorder="1"/>
    <xf numFmtId="43" fontId="6" fillId="2" borderId="6" xfId="1" applyFont="1" applyFill="1" applyBorder="1"/>
    <xf numFmtId="0" fontId="5" fillId="2" borderId="0" xfId="0" applyFont="1" applyFill="1" applyAlignment="1">
      <alignment horizontal="center"/>
    </xf>
    <xf numFmtId="43" fontId="6" fillId="2" borderId="0" xfId="1" applyFont="1" applyFill="1"/>
    <xf numFmtId="43" fontId="3" fillId="2" borderId="7" xfId="1" applyFont="1" applyFill="1" applyBorder="1"/>
    <xf numFmtId="43" fontId="4" fillId="2" borderId="5" xfId="1" applyFont="1" applyFill="1" applyBorder="1"/>
    <xf numFmtId="0" fontId="2" fillId="2" borderId="0" xfId="0" applyFont="1" applyFill="1"/>
    <xf numFmtId="43" fontId="2" fillId="2" borderId="0" xfId="1" applyFont="1" applyFill="1"/>
    <xf numFmtId="0" fontId="2" fillId="2" borderId="4" xfId="0" applyFont="1" applyFill="1" applyBorder="1"/>
    <xf numFmtId="43" fontId="2" fillId="2" borderId="5" xfId="1" applyFont="1" applyFill="1" applyBorder="1"/>
    <xf numFmtId="43" fontId="2" fillId="2" borderId="6" xfId="1" applyFont="1" applyFill="1" applyBorder="1"/>
    <xf numFmtId="0" fontId="7" fillId="2" borderId="0" xfId="0" applyFont="1" applyFill="1"/>
    <xf numFmtId="0" fontId="2" fillId="0" borderId="0" xfId="0" applyFont="1" applyAlignment="1">
      <alignment horizontal="center" vertical="center" wrapText="1"/>
    </xf>
    <xf numFmtId="0" fontId="0" fillId="0" borderId="0" xfId="0" applyAlignment="1">
      <alignment vertical="center" wrapText="1"/>
    </xf>
    <xf numFmtId="43" fontId="0" fillId="0" borderId="0" xfId="0" applyNumberFormat="1" applyAlignment="1">
      <alignment vertical="center" wrapText="1"/>
    </xf>
    <xf numFmtId="172" fontId="0" fillId="0" borderId="0" xfId="0" applyNumberFormat="1" applyAlignment="1">
      <alignment vertical="center" wrapText="1"/>
    </xf>
    <xf numFmtId="0" fontId="2" fillId="2" borderId="1" xfId="0" applyFont="1" applyFill="1" applyBorder="1" applyAlignment="1">
      <alignment horizontal="center" vertical="center" wrapText="1"/>
    </xf>
    <xf numFmtId="0" fontId="0" fillId="2" borderId="1" xfId="0" applyFill="1" applyBorder="1" applyAlignment="1">
      <alignment vertical="center" wrapText="1"/>
    </xf>
    <xf numFmtId="43" fontId="0" fillId="2" borderId="1" xfId="0" applyNumberFormat="1" applyFill="1" applyBorder="1" applyAlignment="1">
      <alignment vertical="center" wrapText="1"/>
    </xf>
    <xf numFmtId="10" fontId="0" fillId="2" borderId="1" xfId="2" applyNumberFormat="1" applyFont="1" applyFill="1" applyBorder="1" applyAlignment="1">
      <alignment vertical="center" wrapText="1"/>
    </xf>
    <xf numFmtId="9" fontId="0" fillId="2" borderId="1" xfId="2" applyFont="1" applyFill="1" applyBorder="1" applyAlignment="1">
      <alignmen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NTY\Desktop\ESCRITORIO\conta%20empresarial\EJERCICIO%201\ejercicio%201.xlsx" TargetMode="External"/><Relationship Id="rId1" Type="http://schemas.openxmlformats.org/officeDocument/2006/relationships/externalLinkPath" Target="/Users/CINTY/Desktop/ESCRITORIO/conta%20empresarial/EJERCICIO%201/ejercici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jercicio 1"/>
      <sheetName val="kardex"/>
      <sheetName val="registro contable"/>
      <sheetName val="Auxiliar de ventas"/>
      <sheetName val="Auxiliar de compras"/>
      <sheetName val="Análisis"/>
    </sheetNames>
    <sheetDataSet>
      <sheetData sheetId="0" refreshError="1"/>
      <sheetData sheetId="1" refreshError="1"/>
      <sheetData sheetId="2">
        <row r="13">
          <cell r="E13">
            <v>1120.5</v>
          </cell>
        </row>
      </sheetData>
      <sheetData sheetId="3">
        <row r="2">
          <cell r="E2">
            <v>8379.9120000000003</v>
          </cell>
        </row>
      </sheetData>
      <sheetData sheetId="4"/>
      <sheetData sheetId="5">
        <row r="17">
          <cell r="B17">
            <v>7590.454545454545</v>
          </cell>
          <cell r="E17">
            <v>1897.6136363636369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0537-DDA7-4107-8D18-31F03B9ED291}">
  <dimension ref="A1:I47"/>
  <sheetViews>
    <sheetView workbookViewId="0">
      <selection activeCell="G21" sqref="G21:J21"/>
    </sheetView>
  </sheetViews>
  <sheetFormatPr baseColWidth="10" defaultRowHeight="13" x14ac:dyDescent="0.3"/>
  <cols>
    <col min="1" max="1" width="39.81640625" style="5" bestFit="1" customWidth="1"/>
    <col min="2" max="2" width="17.453125" style="5" customWidth="1"/>
    <col min="3" max="3" width="11.1796875" style="6" bestFit="1" customWidth="1"/>
    <col min="4" max="6" width="11.90625" style="6" bestFit="1" customWidth="1"/>
    <col min="7" max="16384" width="10.90625" style="5"/>
  </cols>
  <sheetData>
    <row r="1" spans="1:6" x14ac:dyDescent="0.3">
      <c r="A1" s="7" t="s">
        <v>40</v>
      </c>
      <c r="B1" s="7"/>
      <c r="C1" s="7"/>
      <c r="D1" s="7"/>
      <c r="E1" s="7"/>
      <c r="F1" s="7"/>
    </row>
    <row r="2" spans="1:6" x14ac:dyDescent="0.3">
      <c r="A2" s="7" t="s">
        <v>0</v>
      </c>
      <c r="B2" s="7"/>
      <c r="C2" s="7"/>
      <c r="D2" s="7"/>
      <c r="E2" s="7"/>
      <c r="F2" s="7"/>
    </row>
    <row r="3" spans="1:6" x14ac:dyDescent="0.3">
      <c r="A3" s="7" t="s">
        <v>41</v>
      </c>
      <c r="B3" s="7"/>
      <c r="C3" s="7"/>
      <c r="D3" s="7"/>
      <c r="E3" s="7"/>
      <c r="F3" s="7"/>
    </row>
    <row r="5" spans="1:6" x14ac:dyDescent="0.3">
      <c r="A5" s="8" t="s">
        <v>1</v>
      </c>
      <c r="B5" s="8" t="s">
        <v>42</v>
      </c>
      <c r="C5" s="9" t="s">
        <v>2</v>
      </c>
      <c r="D5" s="9"/>
      <c r="E5" s="9" t="s">
        <v>3</v>
      </c>
      <c r="F5" s="9"/>
    </row>
    <row r="6" spans="1:6" x14ac:dyDescent="0.3">
      <c r="A6" s="8"/>
      <c r="B6" s="8"/>
      <c r="C6" s="10" t="s">
        <v>4</v>
      </c>
      <c r="D6" s="10" t="s">
        <v>5</v>
      </c>
      <c r="E6" s="10" t="s">
        <v>6</v>
      </c>
      <c r="F6" s="10" t="s">
        <v>7</v>
      </c>
    </row>
    <row r="7" spans="1:6" x14ac:dyDescent="0.3">
      <c r="A7" s="11" t="s">
        <v>8</v>
      </c>
      <c r="B7" s="11"/>
      <c r="C7" s="12">
        <v>5000</v>
      </c>
      <c r="D7" s="12">
        <v>2000</v>
      </c>
      <c r="E7" s="12">
        <f>+C7-D7</f>
        <v>3000</v>
      </c>
      <c r="F7" s="12"/>
    </row>
    <row r="8" spans="1:6" x14ac:dyDescent="0.3">
      <c r="A8" s="11" t="s">
        <v>9</v>
      </c>
      <c r="B8" s="11"/>
      <c r="C8" s="12">
        <v>9000</v>
      </c>
      <c r="D8" s="12">
        <v>3000</v>
      </c>
      <c r="E8" s="12">
        <f t="shared" ref="E8:E20" si="0">+C8-D8</f>
        <v>6000</v>
      </c>
      <c r="F8" s="12"/>
    </row>
    <row r="9" spans="1:6" x14ac:dyDescent="0.3">
      <c r="A9" s="11" t="s">
        <v>10</v>
      </c>
      <c r="B9" s="11"/>
      <c r="C9" s="12">
        <v>10700</v>
      </c>
      <c r="D9" s="12">
        <v>2400</v>
      </c>
      <c r="E9" s="12">
        <f t="shared" si="0"/>
        <v>8300</v>
      </c>
      <c r="F9" s="12"/>
    </row>
    <row r="10" spans="1:6" x14ac:dyDescent="0.3">
      <c r="A10" s="11" t="s">
        <v>43</v>
      </c>
      <c r="B10" s="11"/>
      <c r="C10" s="12">
        <v>8349.5</v>
      </c>
      <c r="D10" s="12">
        <v>5692.84</v>
      </c>
      <c r="E10" s="12">
        <f t="shared" si="0"/>
        <v>2656.66</v>
      </c>
      <c r="F10" s="12"/>
    </row>
    <row r="11" spans="1:6" x14ac:dyDescent="0.3">
      <c r="A11" s="11" t="s">
        <v>11</v>
      </c>
      <c r="B11" s="11"/>
      <c r="C11" s="12">
        <f>+'[1]registro contable'!$E$13</f>
        <v>1120.5</v>
      </c>
      <c r="D11" s="12"/>
      <c r="E11" s="12">
        <f t="shared" si="0"/>
        <v>1120.5</v>
      </c>
      <c r="F11" s="12"/>
    </row>
    <row r="12" spans="1:6" x14ac:dyDescent="0.3">
      <c r="A12" s="11" t="s">
        <v>12</v>
      </c>
      <c r="B12" s="11"/>
      <c r="C12" s="12">
        <v>3000</v>
      </c>
      <c r="D12" s="12"/>
      <c r="E12" s="12">
        <f t="shared" si="0"/>
        <v>3000</v>
      </c>
      <c r="F12" s="12"/>
    </row>
    <row r="13" spans="1:6" x14ac:dyDescent="0.3">
      <c r="A13" s="11" t="s">
        <v>13</v>
      </c>
      <c r="B13" s="11"/>
      <c r="C13" s="12"/>
      <c r="D13" s="12">
        <f>+(C12-(C12*10%))/10/12</f>
        <v>22.5</v>
      </c>
      <c r="E13" s="5"/>
      <c r="F13" s="12">
        <f>+D13-C13</f>
        <v>22.5</v>
      </c>
    </row>
    <row r="14" spans="1:6" x14ac:dyDescent="0.3">
      <c r="A14" s="11" t="s">
        <v>14</v>
      </c>
      <c r="B14" s="11"/>
      <c r="C14" s="12">
        <v>50000</v>
      </c>
      <c r="D14" s="12"/>
      <c r="E14" s="12">
        <f t="shared" si="0"/>
        <v>50000</v>
      </c>
      <c r="F14" s="12"/>
    </row>
    <row r="15" spans="1:6" x14ac:dyDescent="0.3">
      <c r="A15" s="11" t="s">
        <v>15</v>
      </c>
      <c r="B15" s="11"/>
      <c r="C15" s="12"/>
      <c r="D15" s="12">
        <f>+(C14-(C14*10%))/20/12</f>
        <v>187.5</v>
      </c>
      <c r="E15" s="12"/>
      <c r="F15" s="12">
        <f>+D15-C15</f>
        <v>187.5</v>
      </c>
    </row>
    <row r="16" spans="1:6" x14ac:dyDescent="0.3">
      <c r="A16" s="11" t="s">
        <v>16</v>
      </c>
      <c r="B16" s="11"/>
      <c r="C16" s="12">
        <v>15000</v>
      </c>
      <c r="D16" s="12"/>
      <c r="E16" s="12">
        <f t="shared" si="0"/>
        <v>15000</v>
      </c>
      <c r="F16" s="12"/>
    </row>
    <row r="17" spans="1:9" x14ac:dyDescent="0.3">
      <c r="A17" s="11" t="s">
        <v>17</v>
      </c>
      <c r="B17" s="11"/>
      <c r="C17" s="12"/>
      <c r="D17" s="12">
        <f>+(C16-(C16*10%))/5/12</f>
        <v>225</v>
      </c>
      <c r="E17" s="12"/>
      <c r="F17" s="12">
        <f>+D17-C17</f>
        <v>225</v>
      </c>
    </row>
    <row r="18" spans="1:9" x14ac:dyDescent="0.3">
      <c r="A18" s="11" t="s">
        <v>18</v>
      </c>
      <c r="B18" s="11"/>
      <c r="C18" s="12">
        <v>3000</v>
      </c>
      <c r="D18" s="12"/>
      <c r="E18" s="12">
        <f t="shared" si="0"/>
        <v>3000</v>
      </c>
      <c r="F18" s="12"/>
    </row>
    <row r="19" spans="1:9" x14ac:dyDescent="0.3">
      <c r="A19" s="11" t="s">
        <v>19</v>
      </c>
      <c r="B19" s="11"/>
      <c r="C19" s="12"/>
      <c r="D19" s="12">
        <f>+(C18-(C18*10%))/3/12</f>
        <v>75</v>
      </c>
      <c r="E19" s="12"/>
      <c r="F19" s="12">
        <f>+D19-C19</f>
        <v>75</v>
      </c>
    </row>
    <row r="20" spans="1:9" x14ac:dyDescent="0.3">
      <c r="A20" s="11" t="s">
        <v>20</v>
      </c>
      <c r="B20" s="11"/>
      <c r="C20" s="12">
        <v>6795.91</v>
      </c>
      <c r="D20" s="12"/>
      <c r="E20" s="12">
        <f t="shared" si="0"/>
        <v>6795.91</v>
      </c>
      <c r="F20" s="12"/>
    </row>
    <row r="21" spans="1:9" x14ac:dyDescent="0.3">
      <c r="A21" s="11" t="s">
        <v>21</v>
      </c>
      <c r="B21" s="11"/>
      <c r="C21" s="12"/>
      <c r="D21" s="12">
        <f>+(C20-(C20*10%))/10/12</f>
        <v>50.969324999999998</v>
      </c>
      <c r="E21" s="12"/>
      <c r="F21" s="12">
        <f>+D21-C21</f>
        <v>50.969324999999998</v>
      </c>
      <c r="G21" s="13"/>
      <c r="H21" s="13"/>
      <c r="I21" s="13"/>
    </row>
    <row r="22" spans="1:9" x14ac:dyDescent="0.3">
      <c r="A22" s="11" t="s">
        <v>22</v>
      </c>
      <c r="B22" s="11"/>
      <c r="C22" s="12">
        <v>164.95</v>
      </c>
      <c r="D22" s="12">
        <v>7000</v>
      </c>
      <c r="E22" s="12"/>
      <c r="F22" s="12">
        <f t="shared" ref="F22:F30" si="1">+D22-C22</f>
        <v>6835.05</v>
      </c>
      <c r="G22" s="13"/>
    </row>
    <row r="23" spans="1:9" x14ac:dyDescent="0.3">
      <c r="A23" s="11" t="s">
        <v>23</v>
      </c>
      <c r="B23" s="11"/>
      <c r="C23" s="12"/>
      <c r="D23" s="12">
        <v>290.58999999999997</v>
      </c>
      <c r="E23" s="12"/>
      <c r="F23" s="12">
        <f t="shared" si="1"/>
        <v>290.58999999999997</v>
      </c>
    </row>
    <row r="24" spans="1:9" x14ac:dyDescent="0.3">
      <c r="A24" s="11" t="s">
        <v>24</v>
      </c>
      <c r="B24" s="11"/>
      <c r="C24" s="12"/>
      <c r="D24" s="12">
        <v>200</v>
      </c>
      <c r="E24" s="12"/>
      <c r="F24" s="12">
        <f t="shared" si="1"/>
        <v>200</v>
      </c>
    </row>
    <row r="25" spans="1:9" x14ac:dyDescent="0.3">
      <c r="A25" s="11" t="s">
        <v>44</v>
      </c>
      <c r="B25" s="11"/>
      <c r="C25" s="12"/>
      <c r="D25" s="12">
        <f>+[1]!Tabla3[[#Totals],[Valor IVA]]</f>
        <v>942.74009999999998</v>
      </c>
      <c r="E25" s="12"/>
      <c r="F25" s="12">
        <f t="shared" si="1"/>
        <v>942.74009999999998</v>
      </c>
    </row>
    <row r="26" spans="1:9" x14ac:dyDescent="0.3">
      <c r="A26" s="11" t="s">
        <v>25</v>
      </c>
      <c r="B26" s="11"/>
      <c r="C26" s="12">
        <v>500</v>
      </c>
      <c r="D26" s="12">
        <v>1000</v>
      </c>
      <c r="E26" s="12"/>
      <c r="F26" s="12">
        <f t="shared" si="1"/>
        <v>500</v>
      </c>
    </row>
    <row r="27" spans="1:9" x14ac:dyDescent="0.3">
      <c r="A27" s="11" t="s">
        <v>26</v>
      </c>
      <c r="B27" s="11"/>
      <c r="C27" s="12">
        <v>2000</v>
      </c>
      <c r="D27" s="12">
        <v>30000</v>
      </c>
      <c r="E27" s="12"/>
      <c r="F27" s="12">
        <f t="shared" si="1"/>
        <v>28000</v>
      </c>
    </row>
    <row r="28" spans="1:9" x14ac:dyDescent="0.3">
      <c r="A28" s="11" t="s">
        <v>45</v>
      </c>
      <c r="B28" s="11"/>
      <c r="C28" s="12"/>
      <c r="D28" s="12">
        <v>56480.242809090909</v>
      </c>
      <c r="E28" s="12"/>
      <c r="F28" s="12">
        <f t="shared" si="1"/>
        <v>56480.242809090909</v>
      </c>
    </row>
    <row r="29" spans="1:9" x14ac:dyDescent="0.3">
      <c r="A29" s="11" t="s">
        <v>27</v>
      </c>
      <c r="B29" s="11"/>
      <c r="C29" s="12"/>
      <c r="D29" s="12">
        <v>5000</v>
      </c>
      <c r="E29" s="12"/>
      <c r="F29" s="12">
        <f t="shared" si="1"/>
        <v>5000</v>
      </c>
    </row>
    <row r="30" spans="1:9" x14ac:dyDescent="0.3">
      <c r="A30" s="11" t="s">
        <v>46</v>
      </c>
      <c r="B30" s="11"/>
      <c r="C30" s="12"/>
      <c r="D30" s="12">
        <f>+'[1]Auxiliar de ventas'!$E$2</f>
        <v>8379.9120000000003</v>
      </c>
      <c r="E30" s="12"/>
      <c r="F30" s="12">
        <f t="shared" si="1"/>
        <v>8379.9120000000003</v>
      </c>
    </row>
    <row r="31" spans="1:9" x14ac:dyDescent="0.3">
      <c r="A31" s="11" t="s">
        <v>47</v>
      </c>
      <c r="B31" s="11"/>
      <c r="C31" s="12">
        <f>+[1]Análisis!$B$17</f>
        <v>7590.454545454545</v>
      </c>
      <c r="D31" s="12">
        <f>+[1]Análisis!$E$17</f>
        <v>1897.6136363636369</v>
      </c>
      <c r="E31" s="12">
        <f t="shared" ref="E31:E32" si="2">+C31-D31</f>
        <v>5692.8409090909081</v>
      </c>
      <c r="F31" s="12"/>
    </row>
    <row r="32" spans="1:9" x14ac:dyDescent="0.3">
      <c r="A32" s="11" t="s">
        <v>59</v>
      </c>
      <c r="B32" s="11"/>
      <c r="C32" s="12">
        <f>460*3</f>
        <v>1380</v>
      </c>
      <c r="D32" s="12"/>
      <c r="E32" s="12">
        <f t="shared" si="2"/>
        <v>1380</v>
      </c>
      <c r="F32" s="12"/>
    </row>
    <row r="33" spans="1:6" x14ac:dyDescent="0.3">
      <c r="A33" s="11" t="s">
        <v>28</v>
      </c>
      <c r="B33" s="11"/>
      <c r="C33" s="12">
        <f>+C32/12</f>
        <v>115</v>
      </c>
      <c r="D33" s="12"/>
      <c r="E33" s="12">
        <f>+E32/12</f>
        <v>115</v>
      </c>
      <c r="F33" s="12"/>
    </row>
    <row r="34" spans="1:6" x14ac:dyDescent="0.3">
      <c r="A34" s="11" t="s">
        <v>29</v>
      </c>
      <c r="B34" s="11"/>
      <c r="C34" s="12">
        <f>+C33</f>
        <v>115</v>
      </c>
      <c r="D34" s="12"/>
      <c r="E34" s="12">
        <f t="shared" ref="E33:E44" si="3">+C34-D34</f>
        <v>115</v>
      </c>
      <c r="F34" s="12"/>
    </row>
    <row r="35" spans="1:6" x14ac:dyDescent="0.3">
      <c r="A35" s="11" t="s">
        <v>30</v>
      </c>
      <c r="B35" s="11"/>
      <c r="C35" s="12">
        <f>+C32*8.33%</f>
        <v>114.95399999999999</v>
      </c>
      <c r="D35" s="12"/>
      <c r="E35" s="12">
        <f t="shared" si="3"/>
        <v>114.95399999999999</v>
      </c>
      <c r="F35" s="12"/>
    </row>
    <row r="36" spans="1:6" x14ac:dyDescent="0.3">
      <c r="A36" s="11" t="s">
        <v>31</v>
      </c>
      <c r="B36" s="11"/>
      <c r="C36" s="12">
        <f>+C32*12.15%</f>
        <v>167.67</v>
      </c>
      <c r="D36" s="12"/>
      <c r="E36" s="12">
        <f t="shared" si="3"/>
        <v>167.67</v>
      </c>
      <c r="F36" s="12"/>
    </row>
    <row r="37" spans="1:6" x14ac:dyDescent="0.3">
      <c r="A37" s="11" t="s">
        <v>32</v>
      </c>
      <c r="B37" s="11"/>
      <c r="C37" s="12">
        <v>70</v>
      </c>
      <c r="D37" s="12"/>
      <c r="E37" s="12">
        <f t="shared" si="3"/>
        <v>70</v>
      </c>
      <c r="F37" s="12"/>
    </row>
    <row r="38" spans="1:6" x14ac:dyDescent="0.3">
      <c r="A38" s="11" t="s">
        <v>48</v>
      </c>
      <c r="B38" s="11"/>
      <c r="C38" s="12">
        <v>50</v>
      </c>
      <c r="D38" s="12"/>
      <c r="E38" s="12">
        <f t="shared" si="3"/>
        <v>50</v>
      </c>
      <c r="F38" s="12"/>
    </row>
    <row r="39" spans="1:6" x14ac:dyDescent="0.3">
      <c r="A39" s="11" t="s">
        <v>33</v>
      </c>
      <c r="B39" s="11"/>
      <c r="C39" s="12">
        <v>50</v>
      </c>
      <c r="D39" s="12"/>
      <c r="E39" s="12">
        <f t="shared" si="3"/>
        <v>50</v>
      </c>
      <c r="F39" s="12"/>
    </row>
    <row r="40" spans="1:6" x14ac:dyDescent="0.3">
      <c r="A40" s="11" t="s">
        <v>34</v>
      </c>
      <c r="B40" s="11"/>
      <c r="C40" s="12">
        <f>+F21</f>
        <v>50.969324999999998</v>
      </c>
      <c r="D40" s="12"/>
      <c r="E40" s="12">
        <f t="shared" si="3"/>
        <v>50.969324999999998</v>
      </c>
      <c r="F40" s="12"/>
    </row>
    <row r="41" spans="1:6" x14ac:dyDescent="0.3">
      <c r="A41" s="11" t="s">
        <v>35</v>
      </c>
      <c r="B41" s="11"/>
      <c r="C41" s="12">
        <f>+F19</f>
        <v>75</v>
      </c>
      <c r="D41" s="12"/>
      <c r="E41" s="12">
        <f t="shared" si="3"/>
        <v>75</v>
      </c>
      <c r="F41" s="12"/>
    </row>
    <row r="42" spans="1:6" x14ac:dyDescent="0.3">
      <c r="A42" s="11" t="s">
        <v>36</v>
      </c>
      <c r="B42" s="11"/>
      <c r="C42" s="12">
        <f>+D15</f>
        <v>187.5</v>
      </c>
      <c r="D42" s="12"/>
      <c r="E42" s="12">
        <f t="shared" si="3"/>
        <v>187.5</v>
      </c>
      <c r="F42" s="12"/>
    </row>
    <row r="43" spans="1:6" x14ac:dyDescent="0.3">
      <c r="A43" s="11" t="s">
        <v>37</v>
      </c>
      <c r="B43" s="11"/>
      <c r="C43" s="12">
        <f>+F13</f>
        <v>22.5</v>
      </c>
      <c r="D43" s="12"/>
      <c r="E43" s="12">
        <f t="shared" si="3"/>
        <v>22.5</v>
      </c>
      <c r="F43" s="12"/>
    </row>
    <row r="44" spans="1:6" x14ac:dyDescent="0.3">
      <c r="A44" s="11" t="s">
        <v>38</v>
      </c>
      <c r="B44" s="11"/>
      <c r="C44" s="12">
        <f>+F17</f>
        <v>225</v>
      </c>
      <c r="D44" s="12"/>
      <c r="E44" s="12">
        <f t="shared" si="3"/>
        <v>225</v>
      </c>
      <c r="F44" s="12"/>
    </row>
    <row r="45" spans="1:6" x14ac:dyDescent="0.3">
      <c r="A45" s="11" t="s">
        <v>39</v>
      </c>
      <c r="B45" s="11"/>
      <c r="C45" s="12">
        <f>+SUM(C7:C44)</f>
        <v>124844.90787045454</v>
      </c>
      <c r="D45" s="12">
        <f>+SUM(D7:D44)</f>
        <v>124844.90787045454</v>
      </c>
      <c r="E45" s="12">
        <f>+SUM(E7:E44)</f>
        <v>107189.50423409091</v>
      </c>
      <c r="F45" s="12">
        <f>+SUM(F7:F44)</f>
        <v>107189.5042340909</v>
      </c>
    </row>
    <row r="47" spans="1:6" x14ac:dyDescent="0.3">
      <c r="D47" s="6">
        <f>+C45-D45</f>
        <v>0</v>
      </c>
    </row>
  </sheetData>
  <mergeCells count="7">
    <mergeCell ref="A5:A6"/>
    <mergeCell ref="B5:B6"/>
    <mergeCell ref="C5:D5"/>
    <mergeCell ref="E5:F5"/>
    <mergeCell ref="A1:F1"/>
    <mergeCell ref="A2:F2"/>
    <mergeCell ref="A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80787-B19A-48EC-AC17-C2744667AC29}">
  <dimension ref="A1:D38"/>
  <sheetViews>
    <sheetView workbookViewId="0">
      <selection activeCell="F1" sqref="F1:F1048576"/>
    </sheetView>
  </sheetViews>
  <sheetFormatPr baseColWidth="10" defaultRowHeight="13" x14ac:dyDescent="0.3"/>
  <cols>
    <col min="1" max="1" width="47.1796875" style="5" customWidth="1"/>
    <col min="2" max="2" width="11" style="6" bestFit="1" customWidth="1"/>
    <col min="3" max="3" width="11.1796875" style="6" bestFit="1" customWidth="1"/>
    <col min="4" max="4" width="11.90625" style="6" bestFit="1" customWidth="1"/>
    <col min="5" max="16384" width="10.90625" style="5"/>
  </cols>
  <sheetData>
    <row r="1" spans="1:4" x14ac:dyDescent="0.3">
      <c r="A1" s="7" t="s">
        <v>40</v>
      </c>
      <c r="B1" s="7"/>
      <c r="C1" s="7"/>
      <c r="D1" s="7"/>
    </row>
    <row r="2" spans="1:4" x14ac:dyDescent="0.3">
      <c r="A2" s="7" t="s">
        <v>49</v>
      </c>
      <c r="B2" s="7"/>
      <c r="C2" s="7"/>
      <c r="D2" s="7"/>
    </row>
    <row r="3" spans="1:4" x14ac:dyDescent="0.3">
      <c r="A3" s="7" t="s">
        <v>41</v>
      </c>
      <c r="B3" s="7"/>
      <c r="C3" s="7"/>
      <c r="D3" s="7"/>
    </row>
    <row r="5" spans="1:4" x14ac:dyDescent="0.3">
      <c r="A5" s="24" t="s">
        <v>54</v>
      </c>
      <c r="B5" s="20" t="s">
        <v>65</v>
      </c>
      <c r="C5" s="20" t="s">
        <v>53</v>
      </c>
      <c r="D5" s="20" t="s">
        <v>39</v>
      </c>
    </row>
    <row r="6" spans="1:4" ht="14" x14ac:dyDescent="0.3">
      <c r="A6" s="14" t="s">
        <v>69</v>
      </c>
      <c r="C6" s="15"/>
      <c r="D6" s="15"/>
    </row>
    <row r="7" spans="1:4" ht="14" x14ac:dyDescent="0.3">
      <c r="A7" s="3" t="s">
        <v>68</v>
      </c>
      <c r="C7" s="16">
        <f>+'Balance de Comprobación'!F30</f>
        <v>8379.9120000000003</v>
      </c>
      <c r="D7" s="16"/>
    </row>
    <row r="8" spans="1:4" ht="14" x14ac:dyDescent="0.3">
      <c r="A8" s="14" t="s">
        <v>66</v>
      </c>
      <c r="C8" s="15"/>
      <c r="D8" s="15">
        <f>+C7</f>
        <v>8379.9120000000003</v>
      </c>
    </row>
    <row r="9" spans="1:4" ht="14" x14ac:dyDescent="0.3">
      <c r="A9" s="3" t="s">
        <v>55</v>
      </c>
      <c r="C9" s="16"/>
      <c r="D9" s="4">
        <f>+'Balance de Comprobación'!E31</f>
        <v>5692.8409090909081</v>
      </c>
    </row>
    <row r="10" spans="1:4" ht="14.5" thickBot="1" x14ac:dyDescent="0.35">
      <c r="A10" s="3" t="s">
        <v>56</v>
      </c>
      <c r="C10" s="16"/>
      <c r="D10" s="17">
        <f>+D8-D9</f>
        <v>2687.0710909090922</v>
      </c>
    </row>
    <row r="11" spans="1:4" ht="14" x14ac:dyDescent="0.3">
      <c r="A11" s="14" t="s">
        <v>67</v>
      </c>
      <c r="C11" s="16"/>
      <c r="D11" s="16"/>
    </row>
    <row r="12" spans="1:4" ht="14" x14ac:dyDescent="0.3">
      <c r="A12" s="14" t="s">
        <v>57</v>
      </c>
      <c r="C12" s="15">
        <f>+SUM(B13:B24)</f>
        <v>2398.5933249999998</v>
      </c>
    </row>
    <row r="13" spans="1:4" ht="14" x14ac:dyDescent="0.3">
      <c r="A13" s="3" t="str">
        <f>+'Balance de Comprobación'!A32</f>
        <v>Sueldos y Salarios del personal administrativo</v>
      </c>
      <c r="B13" s="4">
        <f>+'Balance de Comprobación'!C32</f>
        <v>1380</v>
      </c>
      <c r="D13" s="15"/>
    </row>
    <row r="14" spans="1:4" ht="14" x14ac:dyDescent="0.3">
      <c r="A14" s="3" t="str">
        <f>+'Balance de Comprobación'!A33</f>
        <v>Décimo tercer sueldo</v>
      </c>
      <c r="B14" s="4">
        <f>+'Balance de Comprobación'!C33</f>
        <v>115</v>
      </c>
      <c r="D14" s="4"/>
    </row>
    <row r="15" spans="1:4" ht="14" x14ac:dyDescent="0.3">
      <c r="A15" s="3" t="str">
        <f>+'Balance de Comprobación'!A34</f>
        <v>Décimo cuarto sueldo</v>
      </c>
      <c r="B15" s="4">
        <f>+'Balance de Comprobación'!C34</f>
        <v>115</v>
      </c>
      <c r="D15" s="4"/>
    </row>
    <row r="16" spans="1:4" ht="14" x14ac:dyDescent="0.3">
      <c r="A16" s="3" t="str">
        <f>+'Balance de Comprobación'!A35</f>
        <v>Fondos de reserva</v>
      </c>
      <c r="B16" s="4">
        <f>+'Balance de Comprobación'!C35</f>
        <v>114.95399999999999</v>
      </c>
      <c r="D16" s="4"/>
    </row>
    <row r="17" spans="1:4" ht="14" x14ac:dyDescent="0.3">
      <c r="A17" s="3" t="str">
        <f>+'Balance de Comprobación'!A36</f>
        <v>Aporte patronal</v>
      </c>
      <c r="B17" s="4">
        <f>+'Balance de Comprobación'!C36</f>
        <v>167.67</v>
      </c>
      <c r="D17" s="4"/>
    </row>
    <row r="18" spans="1:4" ht="14" x14ac:dyDescent="0.3">
      <c r="A18" s="3" t="str">
        <f>+'Balance de Comprobación'!A37</f>
        <v>Seguros</v>
      </c>
      <c r="B18" s="4">
        <f>+'Balance de Comprobación'!C37</f>
        <v>70</v>
      </c>
      <c r="D18" s="4"/>
    </row>
    <row r="19" spans="1:4" ht="14" x14ac:dyDescent="0.3">
      <c r="A19" s="3" t="str">
        <f>+'Balance de Comprobación'!A38</f>
        <v>Energía Eléctrica</v>
      </c>
      <c r="B19" s="4">
        <f>+'Balance de Comprobación'!C38</f>
        <v>50</v>
      </c>
      <c r="D19" s="4"/>
    </row>
    <row r="20" spans="1:4" ht="14" x14ac:dyDescent="0.3">
      <c r="A20" s="3" t="str">
        <f>+'Balance de Comprobación'!A39</f>
        <v>Teléfono</v>
      </c>
      <c r="B20" s="4">
        <f>+'Balance de Comprobación'!C39</f>
        <v>50</v>
      </c>
      <c r="D20" s="4"/>
    </row>
    <row r="21" spans="1:4" ht="14" x14ac:dyDescent="0.3">
      <c r="A21" s="3" t="str">
        <f>+'Balance de Comprobación'!A40</f>
        <v>Depreciación de Muebles y Enseres</v>
      </c>
      <c r="B21" s="4">
        <f>+'Balance de Comprobación'!C40</f>
        <v>50.969324999999998</v>
      </c>
      <c r="D21" s="25"/>
    </row>
    <row r="22" spans="1:4" ht="14" x14ac:dyDescent="0.3">
      <c r="A22" s="3" t="str">
        <f>+'Balance de Comprobación'!A41</f>
        <v>Depreciación de Equipos de Cómputo</v>
      </c>
      <c r="B22" s="4">
        <f>+'Balance de Comprobación'!C41</f>
        <v>75</v>
      </c>
      <c r="D22" s="4"/>
    </row>
    <row r="23" spans="1:4" ht="14" x14ac:dyDescent="0.3">
      <c r="A23" s="3" t="str">
        <f>+'Balance de Comprobación'!A42</f>
        <v>Depreciación de Edificios</v>
      </c>
      <c r="B23" s="4">
        <f>+'Balance de Comprobación'!C42</f>
        <v>187.5</v>
      </c>
      <c r="D23" s="4"/>
    </row>
    <row r="24" spans="1:4" ht="14" x14ac:dyDescent="0.3">
      <c r="A24" s="3" t="str">
        <f>+'Balance de Comprobación'!A43</f>
        <v>Depreciación de Maquinarias</v>
      </c>
      <c r="B24" s="26">
        <f>+'Balance de Comprobación'!C43</f>
        <v>22.5</v>
      </c>
      <c r="D24" s="4"/>
    </row>
    <row r="25" spans="1:4" ht="14" x14ac:dyDescent="0.3">
      <c r="A25" s="14" t="s">
        <v>58</v>
      </c>
      <c r="C25" s="25">
        <f>+B26</f>
        <v>225</v>
      </c>
    </row>
    <row r="26" spans="1:4" ht="14" x14ac:dyDescent="0.3">
      <c r="A26" s="3" t="str">
        <f>+'Balance de Comprobación'!A44</f>
        <v>Depreciación de Vehículos</v>
      </c>
      <c r="B26" s="26">
        <f>+'Balance de Comprobación'!C44</f>
        <v>225</v>
      </c>
      <c r="D26" s="4"/>
    </row>
    <row r="27" spans="1:4" ht="14" x14ac:dyDescent="0.3">
      <c r="A27" s="14" t="s">
        <v>70</v>
      </c>
      <c r="C27" s="15"/>
      <c r="D27" s="18">
        <f>+C12+C25</f>
        <v>2623.5933249999998</v>
      </c>
    </row>
    <row r="28" spans="1:4" ht="14" x14ac:dyDescent="0.3">
      <c r="A28" s="14" t="s">
        <v>71</v>
      </c>
      <c r="C28" s="15"/>
      <c r="D28" s="18">
        <f>+D10-D27</f>
        <v>63.477765909092341</v>
      </c>
    </row>
    <row r="29" spans="1:4" ht="14" x14ac:dyDescent="0.3">
      <c r="A29" s="14" t="s">
        <v>72</v>
      </c>
      <c r="C29" s="15"/>
      <c r="D29" s="18">
        <v>0</v>
      </c>
    </row>
    <row r="30" spans="1:4" ht="14" x14ac:dyDescent="0.3">
      <c r="A30" s="14" t="s">
        <v>60</v>
      </c>
      <c r="C30" s="15">
        <v>0</v>
      </c>
      <c r="D30" s="18"/>
    </row>
    <row r="31" spans="1:4" ht="14" x14ac:dyDescent="0.3">
      <c r="A31" s="3" t="s">
        <v>61</v>
      </c>
      <c r="B31" s="6">
        <v>0</v>
      </c>
      <c r="C31" s="15"/>
      <c r="D31" s="18">
        <v>0</v>
      </c>
    </row>
    <row r="32" spans="1:4" ht="14" x14ac:dyDescent="0.3">
      <c r="A32" s="3" t="s">
        <v>62</v>
      </c>
      <c r="C32" s="15"/>
      <c r="D32" s="18">
        <f>+D28-D29</f>
        <v>63.477765909092341</v>
      </c>
    </row>
    <row r="33" spans="1:4" ht="14" x14ac:dyDescent="0.3">
      <c r="A33" s="3" t="s">
        <v>86</v>
      </c>
      <c r="C33" s="16"/>
      <c r="D33" s="19">
        <f>+D32*15%</f>
        <v>9.5216648863638511</v>
      </c>
    </row>
    <row r="34" spans="1:4" ht="14" x14ac:dyDescent="0.3">
      <c r="A34" s="3" t="s">
        <v>63</v>
      </c>
      <c r="C34" s="16"/>
      <c r="D34" s="19">
        <f>+D32-D33</f>
        <v>53.95610102272849</v>
      </c>
    </row>
    <row r="35" spans="1:4" ht="14" x14ac:dyDescent="0.3">
      <c r="A35" s="3" t="s">
        <v>50</v>
      </c>
      <c r="C35" s="16"/>
      <c r="D35" s="19">
        <f>+D34*25%</f>
        <v>13.489025255682122</v>
      </c>
    </row>
    <row r="36" spans="1:4" ht="14" x14ac:dyDescent="0.3">
      <c r="A36" s="3" t="s">
        <v>51</v>
      </c>
      <c r="C36" s="16"/>
      <c r="D36" s="19">
        <f>+D34-D35</f>
        <v>40.467075767046367</v>
      </c>
    </row>
    <row r="37" spans="1:4" ht="14" x14ac:dyDescent="0.3">
      <c r="A37" s="3" t="s">
        <v>52</v>
      </c>
      <c r="C37" s="16"/>
      <c r="D37" s="19">
        <f>+D36*10%</f>
        <v>4.0467075767046365</v>
      </c>
    </row>
    <row r="38" spans="1:4" ht="14" x14ac:dyDescent="0.3">
      <c r="A38" s="21" t="s">
        <v>64</v>
      </c>
      <c r="B38" s="27"/>
      <c r="C38" s="22"/>
      <c r="D38" s="23">
        <f>+D36-D37</f>
        <v>36.420368190341733</v>
      </c>
    </row>
  </sheetData>
  <mergeCells count="3">
    <mergeCell ref="A1:D1"/>
    <mergeCell ref="A2:D2"/>
    <mergeCell ref="A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0355-8390-4955-8A64-A80DB96C7D10}">
  <dimension ref="A1:D47"/>
  <sheetViews>
    <sheetView topLeftCell="A27" workbookViewId="0">
      <selection activeCell="A46" sqref="A46"/>
    </sheetView>
  </sheetViews>
  <sheetFormatPr baseColWidth="10" defaultRowHeight="14.5" x14ac:dyDescent="0.35"/>
  <cols>
    <col min="1" max="1" width="49.26953125" style="1" customWidth="1"/>
    <col min="2" max="3" width="10.90625" style="2"/>
    <col min="4" max="16384" width="10.90625" style="1"/>
  </cols>
  <sheetData>
    <row r="1" spans="1:3" x14ac:dyDescent="0.35">
      <c r="A1" s="7" t="s">
        <v>40</v>
      </c>
      <c r="B1" s="7"/>
      <c r="C1" s="7"/>
    </row>
    <row r="2" spans="1:3" x14ac:dyDescent="0.35">
      <c r="A2" s="7" t="s">
        <v>87</v>
      </c>
      <c r="B2" s="7"/>
      <c r="C2" s="7"/>
    </row>
    <row r="3" spans="1:3" x14ac:dyDescent="0.35">
      <c r="A3" s="7" t="s">
        <v>41</v>
      </c>
      <c r="B3" s="7"/>
      <c r="C3" s="7"/>
    </row>
    <row r="5" spans="1:3" x14ac:dyDescent="0.35">
      <c r="A5" s="28" t="s">
        <v>73</v>
      </c>
      <c r="B5" s="29"/>
      <c r="C5" s="29"/>
    </row>
    <row r="6" spans="1:3" x14ac:dyDescent="0.35">
      <c r="A6" s="33" t="s">
        <v>74</v>
      </c>
      <c r="C6" s="2">
        <f>+SUM(B7:B11)</f>
        <v>21077.16</v>
      </c>
    </row>
    <row r="7" spans="1:3" x14ac:dyDescent="0.35">
      <c r="A7" s="1" t="str">
        <f>+'Balance de Comprobación'!A7</f>
        <v>Caja</v>
      </c>
      <c r="B7" s="2">
        <f>+'Balance de Comprobación'!E7</f>
        <v>3000</v>
      </c>
    </row>
    <row r="8" spans="1:3" x14ac:dyDescent="0.35">
      <c r="A8" s="1" t="str">
        <f>+'Balance de Comprobación'!A8</f>
        <v>Bancos</v>
      </c>
      <c r="B8" s="2">
        <f>+'Balance de Comprobación'!E8</f>
        <v>6000</v>
      </c>
    </row>
    <row r="9" spans="1:3" x14ac:dyDescent="0.35">
      <c r="A9" s="1" t="str">
        <f>+'Balance de Comprobación'!A9</f>
        <v>Cuentas por cobrar</v>
      </c>
      <c r="B9" s="2">
        <f>+'Balance de Comprobación'!E9</f>
        <v>8300</v>
      </c>
    </row>
    <row r="10" spans="1:3" x14ac:dyDescent="0.35">
      <c r="A10" s="1" t="str">
        <f>+'Balance de Comprobación'!A10</f>
        <v>Inventario de Mercaderías</v>
      </c>
      <c r="B10" s="2">
        <f>+'Balance de Comprobación'!E10</f>
        <v>2656.66</v>
      </c>
    </row>
    <row r="11" spans="1:3" x14ac:dyDescent="0.35">
      <c r="A11" s="1" t="str">
        <f>+'Balance de Comprobación'!A11</f>
        <v>IVA en Compras</v>
      </c>
      <c r="B11" s="2">
        <f>+'Balance de Comprobación'!E11</f>
        <v>1120.5</v>
      </c>
    </row>
    <row r="12" spans="1:3" x14ac:dyDescent="0.35">
      <c r="A12" s="33" t="s">
        <v>75</v>
      </c>
      <c r="C12" s="2">
        <f>+SUM(B13:B22)</f>
        <v>77234.940675000005</v>
      </c>
    </row>
    <row r="13" spans="1:3" x14ac:dyDescent="0.35">
      <c r="A13" s="1" t="str">
        <f>+'Balance de Comprobación'!A12</f>
        <v>Maquinaria y Equipos</v>
      </c>
      <c r="B13" s="2">
        <f>+'Balance de Comprobación'!E12</f>
        <v>3000</v>
      </c>
    </row>
    <row r="14" spans="1:3" x14ac:dyDescent="0.35">
      <c r="A14" s="1" t="str">
        <f>+'Balance de Comprobación'!A13</f>
        <v>(-) Depreciación Acumulada Maquinaria</v>
      </c>
      <c r="B14" s="2">
        <f>-'Balance de Comprobación'!F13</f>
        <v>-22.5</v>
      </c>
    </row>
    <row r="15" spans="1:3" x14ac:dyDescent="0.35">
      <c r="A15" s="1" t="str">
        <f>+'Balance de Comprobación'!A14</f>
        <v>Edificios</v>
      </c>
      <c r="B15" s="2">
        <f>+'Balance de Comprobación'!E14</f>
        <v>50000</v>
      </c>
    </row>
    <row r="16" spans="1:3" x14ac:dyDescent="0.35">
      <c r="A16" s="1" t="str">
        <f>+'Balance de Comprobación'!A15</f>
        <v>(-) Depreciación Acumulada Edificios</v>
      </c>
      <c r="B16" s="2">
        <f>-'Balance de Comprobación'!F15</f>
        <v>-187.5</v>
      </c>
    </row>
    <row r="17" spans="1:3" x14ac:dyDescent="0.35">
      <c r="A17" s="1" t="str">
        <f>+'Balance de Comprobación'!A16</f>
        <v>Vehículos</v>
      </c>
      <c r="B17" s="2">
        <f>+'Balance de Comprobación'!E16</f>
        <v>15000</v>
      </c>
    </row>
    <row r="18" spans="1:3" x14ac:dyDescent="0.35">
      <c r="A18" s="1" t="str">
        <f>+'Balance de Comprobación'!A17</f>
        <v>(-) Depreciación Acumulada Vehículos</v>
      </c>
      <c r="B18" s="2">
        <f>-'Balance de Comprobación'!F17</f>
        <v>-225</v>
      </c>
    </row>
    <row r="19" spans="1:3" x14ac:dyDescent="0.35">
      <c r="A19" s="1" t="str">
        <f>+'Balance de Comprobación'!A18</f>
        <v>Equipos de Cómputo</v>
      </c>
      <c r="B19" s="2">
        <f>+'Balance de Comprobación'!E18</f>
        <v>3000</v>
      </c>
    </row>
    <row r="20" spans="1:3" x14ac:dyDescent="0.35">
      <c r="A20" s="1" t="str">
        <f>+'Balance de Comprobación'!A19</f>
        <v>(-) Depreciación Acumulada Equipo de Cómputo</v>
      </c>
      <c r="B20" s="2">
        <f>-'Balance de Comprobación'!F19</f>
        <v>-75</v>
      </c>
    </row>
    <row r="21" spans="1:3" x14ac:dyDescent="0.35">
      <c r="A21" s="1" t="str">
        <f>+'Balance de Comprobación'!A20</f>
        <v>Muebles y Enseres</v>
      </c>
      <c r="B21" s="2">
        <f>+'Balance de Comprobación'!E20</f>
        <v>6795.91</v>
      </c>
    </row>
    <row r="22" spans="1:3" x14ac:dyDescent="0.35">
      <c r="A22" s="1" t="str">
        <f>+'Balance de Comprobación'!A21</f>
        <v>(-) Depreciación Acumulada Muebles y Enseres</v>
      </c>
      <c r="B22" s="2">
        <f>-'Balance de Comprobación'!F21</f>
        <v>-50.969324999999998</v>
      </c>
    </row>
    <row r="23" spans="1:3" x14ac:dyDescent="0.35">
      <c r="A23" s="30" t="s">
        <v>76</v>
      </c>
      <c r="B23" s="31"/>
      <c r="C23" s="32">
        <f>+C6+C12</f>
        <v>98312.100675000009</v>
      </c>
    </row>
    <row r="25" spans="1:3" x14ac:dyDescent="0.35">
      <c r="A25" s="28" t="s">
        <v>77</v>
      </c>
      <c r="B25" s="29"/>
    </row>
    <row r="26" spans="1:3" x14ac:dyDescent="0.35">
      <c r="A26" s="33" t="s">
        <v>78</v>
      </c>
      <c r="C26" s="2">
        <f>+SUM(B27:B33)</f>
        <v>8791.3907901420462</v>
      </c>
    </row>
    <row r="27" spans="1:3" x14ac:dyDescent="0.35">
      <c r="A27" s="1" t="str">
        <f>+'Balance de Comprobación'!A22</f>
        <v xml:space="preserve">Documentos por Pagar </v>
      </c>
      <c r="B27" s="2">
        <f>+'Balance de Comprobación'!F22</f>
        <v>6835.05</v>
      </c>
    </row>
    <row r="28" spans="1:3" x14ac:dyDescent="0.35">
      <c r="A28" s="1" t="str">
        <f>+'Balance de Comprobación'!A23</f>
        <v xml:space="preserve">Aporte Personal IESS por Pagar </v>
      </c>
      <c r="B28" s="2">
        <f>+'Balance de Comprobación'!F23</f>
        <v>290.58999999999997</v>
      </c>
    </row>
    <row r="29" spans="1:3" x14ac:dyDescent="0.35">
      <c r="A29" s="1" t="str">
        <f>+'Balance de Comprobación'!A24</f>
        <v>Préstamos IESS por pagar</v>
      </c>
      <c r="B29" s="2">
        <f>+'Balance de Comprobación'!F24</f>
        <v>200</v>
      </c>
    </row>
    <row r="30" spans="1:3" x14ac:dyDescent="0.35">
      <c r="A30" s="1" t="str">
        <f>+'Balance de Comprobación'!A25</f>
        <v>IVA Cobrado</v>
      </c>
      <c r="B30" s="2">
        <f>+'Balance de Comprobación'!F25</f>
        <v>942.74009999999998</v>
      </c>
    </row>
    <row r="31" spans="1:3" x14ac:dyDescent="0.35">
      <c r="A31" s="1" t="str">
        <f>+'Balance de Comprobación'!A26</f>
        <v>Otras Cuentas por pagar</v>
      </c>
      <c r="B31" s="2">
        <f>+'Balance de Comprobación'!F26</f>
        <v>500</v>
      </c>
    </row>
    <row r="32" spans="1:3" x14ac:dyDescent="0.35">
      <c r="A32" s="1" t="str">
        <f>+'Estado de Resultados'!A33</f>
        <v>15% Participación de los trabajadores</v>
      </c>
      <c r="B32" s="2">
        <f>+'Estado de Resultados'!D33</f>
        <v>9.5216648863638511</v>
      </c>
    </row>
    <row r="33" spans="1:4" x14ac:dyDescent="0.35">
      <c r="A33" s="1" t="str">
        <f>+'Estado de Resultados'!A35</f>
        <v>25% Impuesto a la Renta</v>
      </c>
      <c r="B33" s="2">
        <f>+'Estado de Resultados'!D35</f>
        <v>13.489025255682122</v>
      </c>
    </row>
    <row r="34" spans="1:4" x14ac:dyDescent="0.35">
      <c r="A34" s="33" t="s">
        <v>79</v>
      </c>
      <c r="C34" s="2">
        <f>+B35</f>
        <v>28000</v>
      </c>
    </row>
    <row r="35" spans="1:4" x14ac:dyDescent="0.35">
      <c r="A35" s="1" t="str">
        <f>+'Balance de Comprobación'!A27</f>
        <v>Préstamos Bancarios a Largo Plazo</v>
      </c>
      <c r="B35" s="2">
        <f>+'Balance de Comprobación'!F27</f>
        <v>28000</v>
      </c>
    </row>
    <row r="36" spans="1:4" x14ac:dyDescent="0.35">
      <c r="A36" s="28" t="s">
        <v>84</v>
      </c>
      <c r="B36" s="29"/>
      <c r="C36" s="31">
        <f>+C34+C26</f>
        <v>36791.390790142046</v>
      </c>
      <c r="D36" s="28"/>
    </row>
    <row r="37" spans="1:4" ht="7.5" customHeight="1" x14ac:dyDescent="0.35"/>
    <row r="38" spans="1:4" x14ac:dyDescent="0.35">
      <c r="A38" s="28" t="s">
        <v>80</v>
      </c>
      <c r="B38" s="29"/>
      <c r="C38" s="29"/>
    </row>
    <row r="39" spans="1:4" x14ac:dyDescent="0.35">
      <c r="A39" s="33" t="s">
        <v>81</v>
      </c>
      <c r="C39" s="2">
        <f>+B40</f>
        <v>56480.242809090909</v>
      </c>
    </row>
    <row r="40" spans="1:4" x14ac:dyDescent="0.35">
      <c r="A40" s="1" t="str">
        <f>+'Balance de Comprobación'!A28</f>
        <v>Capital Suscrito y Pagado</v>
      </c>
      <c r="B40" s="2">
        <f>+'Balance de Comprobación'!F28</f>
        <v>56480.242809090909</v>
      </c>
    </row>
    <row r="41" spans="1:4" x14ac:dyDescent="0.35">
      <c r="A41" s="33" t="s">
        <v>82</v>
      </c>
      <c r="C41" s="2">
        <f>+B42</f>
        <v>4.0467075767046365</v>
      </c>
    </row>
    <row r="42" spans="1:4" x14ac:dyDescent="0.35">
      <c r="A42" s="1" t="str">
        <f>+'Estado de Resultados'!A37</f>
        <v>10% Reserva Legal</v>
      </c>
      <c r="B42" s="2">
        <f>+'Estado de Resultados'!D37</f>
        <v>4.0467075767046365</v>
      </c>
    </row>
    <row r="43" spans="1:4" x14ac:dyDescent="0.35">
      <c r="A43" s="33" t="s">
        <v>85</v>
      </c>
      <c r="C43" s="2">
        <f>+B44+B45</f>
        <v>5036.4203681903418</v>
      </c>
    </row>
    <row r="44" spans="1:4" x14ac:dyDescent="0.35">
      <c r="A44" s="1" t="str">
        <f>+'Estado de Resultados'!A38</f>
        <v>Utilidad Neta del peridodo</v>
      </c>
      <c r="B44" s="2">
        <f>+'Estado de Resultados'!D38</f>
        <v>36.420368190341733</v>
      </c>
    </row>
    <row r="45" spans="1:4" x14ac:dyDescent="0.35">
      <c r="A45" s="1" t="str">
        <f>+'Balance de Comprobación'!A29</f>
        <v>Utilidades Acumuladas de ejercicios anteriores</v>
      </c>
      <c r="B45" s="2">
        <f>+'Balance de Comprobación'!F29</f>
        <v>5000</v>
      </c>
    </row>
    <row r="46" spans="1:4" x14ac:dyDescent="0.35">
      <c r="A46" s="28" t="s">
        <v>116</v>
      </c>
      <c r="C46" s="29">
        <f>+SUM(C38:C45)</f>
        <v>61520.709884857948</v>
      </c>
    </row>
    <row r="47" spans="1:4" x14ac:dyDescent="0.35">
      <c r="A47" s="30" t="s">
        <v>83</v>
      </c>
      <c r="B47" s="31"/>
      <c r="C47" s="32">
        <f>+C46+C36</f>
        <v>98312.100674999994</v>
      </c>
      <c r="D47" s="28"/>
    </row>
  </sheetData>
  <mergeCells count="3">
    <mergeCell ref="A1:C1"/>
    <mergeCell ref="A2:C2"/>
    <mergeCell ref="A3:C3"/>
  </mergeCells>
  <pageMargins left="0.70866141732283472" right="0.70866141732283472" top="0.55118110236220474" bottom="0.5511811023622047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C4F8-5DE7-4767-BCD6-D311995873B7}">
  <dimension ref="A1:D9"/>
  <sheetViews>
    <sheetView tabSelected="1" workbookViewId="0">
      <selection activeCell="E5" sqref="E5"/>
    </sheetView>
  </sheetViews>
  <sheetFormatPr baseColWidth="10" defaultRowHeight="14.5" x14ac:dyDescent="0.35"/>
  <cols>
    <col min="1" max="2" width="14.90625" style="1" customWidth="1"/>
    <col min="3" max="3" width="9.6328125" style="1" bestFit="1" customWidth="1"/>
    <col min="4" max="4" width="59.7265625" style="1" customWidth="1"/>
    <col min="5" max="6" width="23.7265625" style="1" customWidth="1"/>
    <col min="7" max="16384" width="10.90625" style="1"/>
  </cols>
  <sheetData>
    <row r="1" spans="1:4" ht="29" x14ac:dyDescent="0.35">
      <c r="A1" s="38" t="s">
        <v>88</v>
      </c>
      <c r="B1" s="38" t="s">
        <v>89</v>
      </c>
      <c r="C1" s="38" t="s">
        <v>113</v>
      </c>
      <c r="D1" s="38" t="s">
        <v>90</v>
      </c>
    </row>
    <row r="2" spans="1:4" ht="58" x14ac:dyDescent="0.35">
      <c r="A2" s="39" t="s">
        <v>91</v>
      </c>
      <c r="B2" s="39" t="s">
        <v>92</v>
      </c>
      <c r="C2" s="40">
        <f>+'Balance General'!C6-'Balance General'!C26</f>
        <v>12285.769209857954</v>
      </c>
      <c r="D2" s="39" t="s">
        <v>117</v>
      </c>
    </row>
    <row r="3" spans="1:4" ht="43.5" x14ac:dyDescent="0.35">
      <c r="A3" s="39" t="s">
        <v>94</v>
      </c>
      <c r="B3" s="39" t="s">
        <v>95</v>
      </c>
      <c r="C3" s="40">
        <f>+'Balance General'!C6/'Balance General'!C26</f>
        <v>2.39747731651677</v>
      </c>
      <c r="D3" s="39" t="s">
        <v>118</v>
      </c>
    </row>
    <row r="4" spans="1:4" ht="43.5" x14ac:dyDescent="0.35">
      <c r="A4" s="39" t="s">
        <v>112</v>
      </c>
      <c r="B4" s="39" t="s">
        <v>97</v>
      </c>
      <c r="C4" s="40">
        <f>+('Balance General'!C6-'Balance General'!B10)/'Balance General'!C26</f>
        <v>2.0952884975441268</v>
      </c>
      <c r="D4" s="39" t="s">
        <v>119</v>
      </c>
    </row>
    <row r="5" spans="1:4" ht="43.5" x14ac:dyDescent="0.35">
      <c r="A5" s="39" t="s">
        <v>114</v>
      </c>
      <c r="B5" s="39" t="s">
        <v>99</v>
      </c>
      <c r="C5" s="41">
        <f>+'Estado de Resultados'!D28/'Estado de Resultados'!D8</f>
        <v>7.574991946107828E-3</v>
      </c>
      <c r="D5" s="39" t="s">
        <v>120</v>
      </c>
    </row>
    <row r="6" spans="1:4" ht="58" x14ac:dyDescent="0.35">
      <c r="A6" s="39" t="s">
        <v>115</v>
      </c>
      <c r="B6" s="39" t="s">
        <v>101</v>
      </c>
      <c r="C6" s="41">
        <f>+'Balance General'!B44/'Balance General'!C46</f>
        <v>5.9200175450683243E-4</v>
      </c>
      <c r="D6" s="39" t="s">
        <v>121</v>
      </c>
    </row>
    <row r="7" spans="1:4" ht="87" x14ac:dyDescent="0.35">
      <c r="A7" s="39" t="s">
        <v>103</v>
      </c>
      <c r="B7" s="39" t="s">
        <v>104</v>
      </c>
      <c r="C7" s="41">
        <f>+'Balance General'!B44/'Balance General'!C23</f>
        <v>3.7045661663501759E-4</v>
      </c>
      <c r="D7" s="39" t="s">
        <v>122</v>
      </c>
    </row>
    <row r="8" spans="1:4" ht="72.5" x14ac:dyDescent="0.35">
      <c r="A8" s="39" t="s">
        <v>106</v>
      </c>
      <c r="B8" s="39" t="s">
        <v>107</v>
      </c>
      <c r="C8" s="40">
        <f>+'Balance General'!C36/'Balance General'!C23</f>
        <v>0.37423054270569367</v>
      </c>
      <c r="D8" s="39" t="s">
        <v>123</v>
      </c>
    </row>
    <row r="9" spans="1:4" ht="72.5" x14ac:dyDescent="0.35">
      <c r="A9" s="39" t="s">
        <v>109</v>
      </c>
      <c r="B9" s="39" t="s">
        <v>110</v>
      </c>
      <c r="C9" s="42">
        <f>+'Balance General'!C36/'Balance General'!C46</f>
        <v>0.59803261144093989</v>
      </c>
      <c r="D9" s="39"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B401E-E48D-4388-AAD8-B08F966FF8B4}">
  <dimension ref="A1:D9"/>
  <sheetViews>
    <sheetView workbookViewId="0">
      <selection activeCell="D3" sqref="D3"/>
    </sheetView>
  </sheetViews>
  <sheetFormatPr baseColWidth="10" defaultRowHeight="14.5" x14ac:dyDescent="0.35"/>
  <cols>
    <col min="1" max="1" width="14.90625" customWidth="1"/>
    <col min="2" max="2" width="25.81640625" customWidth="1"/>
    <col min="3" max="3" width="9.6328125" bestFit="1" customWidth="1"/>
    <col min="4" max="4" width="44.81640625" customWidth="1"/>
    <col min="5" max="6" width="23.7265625" customWidth="1"/>
  </cols>
  <sheetData>
    <row r="1" spans="1:4" ht="29" x14ac:dyDescent="0.35">
      <c r="A1" s="34" t="s">
        <v>88</v>
      </c>
      <c r="B1" s="34" t="s">
        <v>89</v>
      </c>
      <c r="C1" s="34" t="s">
        <v>113</v>
      </c>
      <c r="D1" s="34" t="s">
        <v>90</v>
      </c>
    </row>
    <row r="2" spans="1:4" ht="58" x14ac:dyDescent="0.35">
      <c r="A2" s="35" t="s">
        <v>91</v>
      </c>
      <c r="B2" s="35" t="s">
        <v>92</v>
      </c>
      <c r="C2" s="36">
        <f>+'Balance General'!C6-'Balance General'!C26</f>
        <v>12285.769209857954</v>
      </c>
      <c r="D2" s="35" t="s">
        <v>93</v>
      </c>
    </row>
    <row r="3" spans="1:4" ht="43.5" x14ac:dyDescent="0.35">
      <c r="A3" s="35" t="s">
        <v>94</v>
      </c>
      <c r="B3" s="35" t="s">
        <v>95</v>
      </c>
      <c r="C3" s="36">
        <f>+'Balance General'!C6/'Balance General'!C26</f>
        <v>2.39747731651677</v>
      </c>
      <c r="D3" s="35" t="s">
        <v>96</v>
      </c>
    </row>
    <row r="4" spans="1:4" ht="58" x14ac:dyDescent="0.35">
      <c r="A4" s="35" t="s">
        <v>112</v>
      </c>
      <c r="B4" s="35" t="s">
        <v>97</v>
      </c>
      <c r="C4" s="36">
        <f>+('Balance General'!C6-'Balance General'!B10)/'Balance General'!C26</f>
        <v>2.0952884975441268</v>
      </c>
      <c r="D4" s="35" t="s">
        <v>98</v>
      </c>
    </row>
    <row r="5" spans="1:4" ht="43.5" x14ac:dyDescent="0.35">
      <c r="A5" s="35" t="s">
        <v>114</v>
      </c>
      <c r="B5" s="35" t="s">
        <v>99</v>
      </c>
      <c r="C5" s="36">
        <f>+'Estado de Resultados'!D28/'Estado de Resultados'!D8</f>
        <v>7.574991946107828E-3</v>
      </c>
      <c r="D5" s="35" t="s">
        <v>100</v>
      </c>
    </row>
    <row r="6" spans="1:4" ht="58" x14ac:dyDescent="0.35">
      <c r="A6" s="35" t="s">
        <v>115</v>
      </c>
      <c r="B6" s="35" t="s">
        <v>101</v>
      </c>
      <c r="C6" s="37">
        <f>+'Balance General'!B44/'Balance General'!C46</f>
        <v>5.9200175450683243E-4</v>
      </c>
      <c r="D6" s="35" t="s">
        <v>102</v>
      </c>
    </row>
    <row r="7" spans="1:4" ht="43.5" x14ac:dyDescent="0.35">
      <c r="A7" s="35" t="s">
        <v>103</v>
      </c>
      <c r="B7" s="35" t="s">
        <v>104</v>
      </c>
      <c r="C7" s="37">
        <f>+'Balance General'!B44/'Balance General'!C23</f>
        <v>3.7045661663501759E-4</v>
      </c>
      <c r="D7" s="35" t="s">
        <v>105</v>
      </c>
    </row>
    <row r="8" spans="1:4" ht="43.5" x14ac:dyDescent="0.35">
      <c r="A8" s="35" t="s">
        <v>106</v>
      </c>
      <c r="B8" s="35" t="s">
        <v>107</v>
      </c>
      <c r="C8" s="36">
        <f>+'Balance General'!C36/'Balance General'!C23</f>
        <v>0.37423054270569367</v>
      </c>
      <c r="D8" s="35" t="s">
        <v>108</v>
      </c>
    </row>
    <row r="9" spans="1:4" ht="43.5" x14ac:dyDescent="0.35">
      <c r="A9" s="35" t="s">
        <v>109</v>
      </c>
      <c r="B9" s="35" t="s">
        <v>110</v>
      </c>
      <c r="C9" s="36">
        <f>+'Balance General'!C36/'Balance General'!C46</f>
        <v>0.59803261144093989</v>
      </c>
      <c r="D9" s="35"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Balance de Comprobación</vt:lpstr>
      <vt:lpstr>Estado de Resultados</vt:lpstr>
      <vt:lpstr>Balance General</vt:lpstr>
      <vt:lpstr>Indicadores Financieros eeff</vt:lpstr>
      <vt:lpstr>Indicadores Financieros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CINTYA LISBETH TELLO NUÑEZ</dc:creator>
  <cp:lastModifiedBy>CINTYA LISBETH TELLO NUÑEZ</cp:lastModifiedBy>
  <cp:lastPrinted>2024-10-26T21:02:49Z</cp:lastPrinted>
  <dcterms:created xsi:type="dcterms:W3CDTF">2024-10-26T10:35:03Z</dcterms:created>
  <dcterms:modified xsi:type="dcterms:W3CDTF">2024-10-26T22:35:25Z</dcterms:modified>
</cp:coreProperties>
</file>