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01DE98-F652-4B60-8117-373B5886EBE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Ej_norm" sheetId="7" r:id="rId1"/>
    <sheet name="Ej_homc" sheetId="12" r:id="rId2"/>
    <sheet name="Ejerc" sheetId="13" r:id="rId3"/>
    <sheet name="Indep" sheetId="14" r:id="rId4"/>
    <sheet name="Durbin_W" sheetId="25" r:id="rId5"/>
    <sheet name="Ejerc_compl" sheetId="26" r:id="rId6"/>
  </sheets>
  <definedNames>
    <definedName name="_xlchart.v1.0" hidden="1">Ejerc_compl!$B$69:$G$69</definedName>
    <definedName name="_xlchart.v1.1" hidden="1">Ejerc_compl!$B$70:$G$70</definedName>
    <definedName name="_xlchart.v1.2" hidden="1">Ejerc_compl!$B$71:$G$71</definedName>
    <definedName name="_xlchart.v1.3" hidden="1">Ejerc_compl!$B$69:$G$69</definedName>
    <definedName name="_xlchart.v1.4" hidden="1">Ejerc_compl!$B$70:$G$70</definedName>
    <definedName name="_xlchart.v1.5" hidden="1">Ejerc_compl!$B$71:$G$71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" i="26" l="1"/>
  <c r="F156" i="26"/>
  <c r="F140" i="26"/>
  <c r="F141" i="26"/>
  <c r="F142" i="26"/>
  <c r="F143" i="26"/>
  <c r="F144" i="26"/>
  <c r="F145" i="26"/>
  <c r="F146" i="26"/>
  <c r="F147" i="26"/>
  <c r="F148" i="26"/>
  <c r="F149" i="26"/>
  <c r="F150" i="26"/>
  <c r="F151" i="26"/>
  <c r="F152" i="26"/>
  <c r="F153" i="26"/>
  <c r="F154" i="26"/>
  <c r="F155" i="26"/>
  <c r="F139" i="26"/>
  <c r="E156" i="26"/>
  <c r="E139" i="26"/>
  <c r="E140" i="26"/>
  <c r="E141" i="26"/>
  <c r="E142" i="26"/>
  <c r="E143" i="26"/>
  <c r="E144" i="26"/>
  <c r="E145" i="26"/>
  <c r="E146" i="26"/>
  <c r="E147" i="26"/>
  <c r="E148" i="26"/>
  <c r="E149" i="26"/>
  <c r="E150" i="26"/>
  <c r="E151" i="26"/>
  <c r="E152" i="26"/>
  <c r="E153" i="26"/>
  <c r="E154" i="26"/>
  <c r="E155" i="26"/>
  <c r="E138" i="26"/>
  <c r="D139" i="26"/>
  <c r="D140" i="26"/>
  <c r="D141" i="26"/>
  <c r="D142" i="26"/>
  <c r="D143" i="26"/>
  <c r="D144" i="26"/>
  <c r="D145" i="26"/>
  <c r="D146" i="26"/>
  <c r="D147" i="26"/>
  <c r="D148" i="26"/>
  <c r="D149" i="26"/>
  <c r="D150" i="26"/>
  <c r="D151" i="26"/>
  <c r="D152" i="26"/>
  <c r="D153" i="26"/>
  <c r="D154" i="26"/>
  <c r="D155" i="26"/>
  <c r="D138" i="26"/>
  <c r="B130" i="26"/>
  <c r="D123" i="26"/>
  <c r="C119" i="26"/>
  <c r="E112" i="26"/>
  <c r="E113" i="26"/>
  <c r="E114" i="26"/>
  <c r="E115" i="26"/>
  <c r="E116" i="26"/>
  <c r="E117" i="26"/>
  <c r="E111" i="26"/>
  <c r="C117" i="26"/>
  <c r="D117" i="26"/>
  <c r="B117" i="26"/>
  <c r="C116" i="26"/>
  <c r="D116" i="26"/>
  <c r="B116" i="26"/>
  <c r="C115" i="26"/>
  <c r="D115" i="26"/>
  <c r="B115" i="26"/>
  <c r="C114" i="26"/>
  <c r="D114" i="26"/>
  <c r="B114" i="26"/>
  <c r="C113" i="26"/>
  <c r="D113" i="26"/>
  <c r="B113" i="26"/>
  <c r="C112" i="26"/>
  <c r="D112" i="26"/>
  <c r="B112" i="26"/>
  <c r="C111" i="26"/>
  <c r="D111" i="26"/>
  <c r="B111" i="26"/>
  <c r="F92" i="26"/>
  <c r="F93" i="26"/>
  <c r="F94" i="26"/>
  <c r="F95" i="26"/>
  <c r="F96" i="26"/>
  <c r="F97" i="26"/>
  <c r="E93" i="26"/>
  <c r="E94" i="26"/>
  <c r="E95" i="26"/>
  <c r="E96" i="26"/>
  <c r="E97" i="26"/>
  <c r="E92" i="26"/>
  <c r="B93" i="26"/>
  <c r="B94" i="26"/>
  <c r="B95" i="26"/>
  <c r="B96" i="26"/>
  <c r="B97" i="26"/>
  <c r="B92" i="26"/>
  <c r="C52" i="26"/>
  <c r="D52" i="26"/>
  <c r="B52" i="26"/>
  <c r="C50" i="26"/>
  <c r="D50" i="26"/>
  <c r="B50" i="26"/>
  <c r="E46" i="26"/>
  <c r="B47" i="26" s="1"/>
  <c r="F32" i="26"/>
  <c r="E32" i="26"/>
  <c r="D33" i="26"/>
  <c r="D32" i="26"/>
  <c r="B34" i="26"/>
  <c r="C12" i="26"/>
  <c r="D12" i="26"/>
  <c r="B12" i="26"/>
  <c r="C11" i="26"/>
  <c r="D11" i="26"/>
  <c r="B11" i="26"/>
  <c r="C10" i="26"/>
  <c r="C9" i="26"/>
  <c r="D9" i="26"/>
  <c r="D10" i="26" s="1"/>
  <c r="B9" i="26"/>
  <c r="E9" i="26" s="1"/>
  <c r="I14" i="14"/>
  <c r="F25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10" i="14"/>
  <c r="E25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9" i="14"/>
  <c r="F3" i="14"/>
  <c r="F4" i="14"/>
  <c r="F5" i="14"/>
  <c r="F2" i="14"/>
  <c r="B32" i="13"/>
  <c r="E25" i="13"/>
  <c r="C19" i="13"/>
  <c r="F11" i="13"/>
  <c r="F12" i="13"/>
  <c r="F13" i="13"/>
  <c r="F14" i="13"/>
  <c r="F15" i="13"/>
  <c r="F16" i="13"/>
  <c r="F10" i="13"/>
  <c r="C16" i="13"/>
  <c r="D16" i="13"/>
  <c r="E16" i="13"/>
  <c r="B16" i="13"/>
  <c r="C15" i="13"/>
  <c r="D15" i="13"/>
  <c r="E15" i="13"/>
  <c r="B15" i="13"/>
  <c r="C14" i="13"/>
  <c r="D14" i="13"/>
  <c r="E14" i="13"/>
  <c r="B14" i="13"/>
  <c r="C13" i="13"/>
  <c r="D13" i="13"/>
  <c r="E13" i="13"/>
  <c r="B13" i="13"/>
  <c r="C12" i="13"/>
  <c r="D12" i="13"/>
  <c r="E12" i="13"/>
  <c r="B12" i="13"/>
  <c r="C11" i="13"/>
  <c r="D11" i="13"/>
  <c r="E11" i="13"/>
  <c r="B11" i="13"/>
  <c r="C10" i="13"/>
  <c r="D10" i="13"/>
  <c r="E10" i="13"/>
  <c r="B10" i="13"/>
  <c r="B29" i="12"/>
  <c r="E22" i="12"/>
  <c r="C18" i="12"/>
  <c r="B12" i="12"/>
  <c r="E10" i="12"/>
  <c r="E11" i="12"/>
  <c r="E14" i="12"/>
  <c r="E15" i="12"/>
  <c r="E9" i="12"/>
  <c r="C14" i="12"/>
  <c r="D14" i="12"/>
  <c r="B14" i="12"/>
  <c r="C13" i="12"/>
  <c r="D13" i="12"/>
  <c r="B13" i="12"/>
  <c r="C12" i="12"/>
  <c r="D12" i="12"/>
  <c r="C11" i="12"/>
  <c r="D11" i="12"/>
  <c r="B11" i="12"/>
  <c r="C10" i="12"/>
  <c r="D10" i="12"/>
  <c r="B10" i="12"/>
  <c r="C9" i="12"/>
  <c r="D9" i="12"/>
  <c r="B9" i="12"/>
  <c r="G44" i="7"/>
  <c r="G45" i="7"/>
  <c r="G46" i="7"/>
  <c r="G47" i="7"/>
  <c r="G48" i="7"/>
  <c r="G49" i="7"/>
  <c r="G43" i="7"/>
  <c r="F44" i="7"/>
  <c r="F45" i="7"/>
  <c r="F46" i="7"/>
  <c r="F47" i="7"/>
  <c r="F48" i="7"/>
  <c r="F49" i="7"/>
  <c r="F43" i="7"/>
  <c r="C44" i="7"/>
  <c r="C45" i="7"/>
  <c r="C46" i="7"/>
  <c r="C47" i="7"/>
  <c r="C48" i="7"/>
  <c r="C49" i="7"/>
  <c r="C43" i="7"/>
  <c r="B51" i="7"/>
  <c r="E13" i="7"/>
  <c r="E17" i="7"/>
  <c r="E18" i="7"/>
  <c r="E21" i="7"/>
  <c r="D13" i="7"/>
  <c r="D14" i="7"/>
  <c r="E14" i="7" s="1"/>
  <c r="D15" i="7"/>
  <c r="E15" i="7" s="1"/>
  <c r="D16" i="7"/>
  <c r="E16" i="7" s="1"/>
  <c r="D17" i="7"/>
  <c r="D18" i="7"/>
  <c r="D19" i="7"/>
  <c r="E19" i="7" s="1"/>
  <c r="D20" i="7"/>
  <c r="E20" i="7" s="1"/>
  <c r="D21" i="7"/>
  <c r="D12" i="7"/>
  <c r="E12" i="7" s="1"/>
  <c r="E11" i="26" l="1"/>
  <c r="B26" i="26" s="1"/>
  <c r="B10" i="26"/>
  <c r="E10" i="26" s="1"/>
  <c r="B27" i="26" s="1"/>
  <c r="B28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2" authorId="0" shapeId="0" xr:uid="{0C7196DF-86CA-4B32-A9B0-8059AB86A3A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Residuo ordenado ascendente)</t>
        </r>
      </text>
    </comment>
  </commentList>
</comments>
</file>

<file path=xl/sharedStrings.xml><?xml version="1.0" encoding="utf-8"?>
<sst xmlns="http://schemas.openxmlformats.org/spreadsheetml/2006/main" count="218" uniqueCount="151">
  <si>
    <t>Consideremos los datos de un diseño completamente al azar (DCA), el interés es comparar cuatro métodos de ensamble</t>
  </si>
  <si>
    <t xml:space="preserve">en cuanto al tiempo promedio en minutos que requiere cada uno de ellos. Se hicieron cuatro observaciones </t>
  </si>
  <si>
    <t>del tiempo de ensamble en cada método. Una manera de comparar los métodos de ensamble(tratamientos) es probar la hipótesis</t>
  </si>
  <si>
    <t>A</t>
  </si>
  <si>
    <t>B</t>
  </si>
  <si>
    <t>C</t>
  </si>
  <si>
    <t>D</t>
  </si>
  <si>
    <t>Totales</t>
  </si>
  <si>
    <t xml:space="preserve">Residuos </t>
  </si>
  <si>
    <t xml:space="preserve">EJEMPLO SUPUESTOS DE NORMALIDAD </t>
  </si>
  <si>
    <t>H1: Los datos no proceden de una distribución normal</t>
  </si>
  <si>
    <t>H0: Los datos proceden de una distribución normal</t>
  </si>
  <si>
    <r>
      <t xml:space="preserve">Paso 1.- </t>
    </r>
    <r>
      <rPr>
        <sz val="11"/>
        <color theme="1"/>
        <rFont val="Calibri"/>
        <family val="2"/>
        <scheme val="minor"/>
      </rPr>
      <t>Ordenar los residuos en forma ascendente</t>
    </r>
  </si>
  <si>
    <r>
      <t xml:space="preserve">Paso 2.- </t>
    </r>
    <r>
      <rPr>
        <sz val="11"/>
        <color theme="1"/>
        <rFont val="Calibri"/>
        <family val="2"/>
        <scheme val="minor"/>
      </rPr>
      <t>Calcular una posición de graficación para cada dato en función de su rango y del total de observaciones como</t>
    </r>
    <r>
      <rPr>
        <b/>
        <sz val="11"/>
        <color theme="1"/>
        <rFont val="Calibri"/>
        <family val="2"/>
        <scheme val="minor"/>
      </rPr>
      <t xml:space="preserve"> </t>
    </r>
  </si>
  <si>
    <t>ri</t>
  </si>
  <si>
    <t>Rango i</t>
  </si>
  <si>
    <t>(i-0,5)/N</t>
  </si>
  <si>
    <t>Zi</t>
  </si>
  <si>
    <r>
      <t xml:space="preserve">Paso 3.- </t>
    </r>
    <r>
      <rPr>
        <sz val="11"/>
        <color theme="1"/>
        <rFont val="Calibri"/>
        <family val="2"/>
        <scheme val="minor"/>
      </rPr>
      <t>Calcular el valor de Zi, utilizando (INV.NORM.STAND)</t>
    </r>
  </si>
  <si>
    <t>Paso 4.- Graficar (ri,Zi)</t>
  </si>
  <si>
    <t>EJEMPLO HOCEDASTICIDAD</t>
  </si>
  <si>
    <t>T1</t>
  </si>
  <si>
    <t>T2</t>
  </si>
  <si>
    <t>T3</t>
  </si>
  <si>
    <t>SUMA</t>
  </si>
  <si>
    <t>SUMA_CUADRAD</t>
  </si>
  <si>
    <t>SUMA_CUAD_TRAT</t>
  </si>
  <si>
    <t>Varianza de trat</t>
  </si>
  <si>
    <t>ln(varianza trat)</t>
  </si>
  <si>
    <t>(r-1)ln(var_trat)</t>
  </si>
  <si>
    <t>1/(r-1)</t>
  </si>
  <si>
    <t>Chi critico</t>
  </si>
  <si>
    <t>H0: Las varianzas poblacionales son iguales</t>
  </si>
  <si>
    <t>H1: Por lo menos una es difrente</t>
  </si>
  <si>
    <t xml:space="preserve">Interpretación: </t>
  </si>
  <si>
    <t>H0: Los residuos se distribuyen normalmente</t>
  </si>
  <si>
    <t>H1: Los residuos no se distribuyen normalmente</t>
  </si>
  <si>
    <t>Se acepta H0, es decir los residuos se distribuyen normalmente; Los datos provienen de una distribuciónn normal</t>
  </si>
  <si>
    <t>0,05;2</t>
  </si>
  <si>
    <t>INVCHI.CD</t>
  </si>
  <si>
    <t>Ho: El tiempo promedio de los cuatro métodos es igual</t>
  </si>
  <si>
    <t>H1: El promedio de los cuatro métodos de ensamble no es el mismo</t>
  </si>
  <si>
    <t>H1:ui di uj para algún i dif j</t>
  </si>
  <si>
    <t>Promedio</t>
  </si>
  <si>
    <t>Observado</t>
  </si>
  <si>
    <t>Predicho</t>
  </si>
  <si>
    <t>Predicho=Media</t>
  </si>
  <si>
    <t>d</t>
  </si>
  <si>
    <t>Cálculo de Durbin Watson</t>
  </si>
  <si>
    <t>H0: La correlación entre residuos es independiente</t>
  </si>
  <si>
    <t>H1: La correlación entre residuos es dependiente</t>
  </si>
  <si>
    <t>dl</t>
  </si>
  <si>
    <t>du</t>
  </si>
  <si>
    <t>H0:ua=ub=uc=ud</t>
  </si>
  <si>
    <t>Ejemplo 2</t>
  </si>
  <si>
    <t>datos</t>
  </si>
  <si>
    <t>Media</t>
  </si>
  <si>
    <t>Residuo</t>
  </si>
  <si>
    <t>i</t>
  </si>
  <si>
    <t>Probabilidad</t>
  </si>
  <si>
    <t>(i-0,5)/7</t>
  </si>
  <si>
    <t>Ho: Las estaturas de los estudiantes de 4to semestre se distribuyen normalmente</t>
  </si>
  <si>
    <t>H1: Las estaturas de los estudiantes de 4to semestre no se distribuyen normalmente</t>
  </si>
  <si>
    <t>Interpretación; Los datos se encuentran alineados, por la tanto se acepta H0</t>
  </si>
  <si>
    <t>Estaturas</t>
  </si>
  <si>
    <t>1.- Normalidad</t>
  </si>
  <si>
    <t>2.- Homocedasticidad</t>
  </si>
  <si>
    <t>3.- Independencia</t>
  </si>
  <si>
    <t>Analizar los datos</t>
  </si>
  <si>
    <t>calculado</t>
  </si>
  <si>
    <t xml:space="preserve">como 2,08&lt;5,99 se acepta H0; </t>
  </si>
  <si>
    <t>Las varianzas poblacionales son iguales</t>
  </si>
  <si>
    <t>suma</t>
  </si>
  <si>
    <t>suma_cuad</t>
  </si>
  <si>
    <t>suma_cuad_trat</t>
  </si>
  <si>
    <t>varianza_cada_trat</t>
  </si>
  <si>
    <t>Calculado</t>
  </si>
  <si>
    <t>0,05;3</t>
  </si>
  <si>
    <t>PRUEBA DE HOCEDASTICIDAD</t>
  </si>
  <si>
    <t>Interpretación</t>
  </si>
  <si>
    <t xml:space="preserve">2,49&lt;7,81, se acepta H0, </t>
  </si>
  <si>
    <t>TOTAL</t>
  </si>
  <si>
    <t>2,89&gt;1,93 se acepta h0, la correlación entre residuos es independiente</t>
  </si>
  <si>
    <t>MARCA DE SPRAY</t>
  </si>
  <si>
    <t>a) Formule la hipótesis adecuada y el modelo estadístico</t>
  </si>
  <si>
    <t>Hipótesis</t>
  </si>
  <si>
    <t xml:space="preserve">H0:u1=u2=u3 </t>
  </si>
  <si>
    <t xml:space="preserve">H0: La efectividad promedio de los tres spray es igual para matar moscas </t>
  </si>
  <si>
    <r>
      <t>H1: ui</t>
    </r>
    <r>
      <rPr>
        <sz val="11"/>
        <color theme="1"/>
        <rFont val="Aptos Narrow"/>
        <family val="2"/>
      </rPr>
      <t>≠</t>
    </r>
    <r>
      <rPr>
        <sz val="10"/>
        <color theme="1"/>
        <rFont val="Calibri"/>
        <family val="2"/>
      </rPr>
      <t>uj</t>
    </r>
  </si>
  <si>
    <t>H1: Por lo menos un spray es diferente con respecto a su efectividad</t>
  </si>
  <si>
    <t xml:space="preserve">Modelo </t>
  </si>
  <si>
    <t>yij=u+ai+eij</t>
  </si>
  <si>
    <t>yij</t>
  </si>
  <si>
    <t>porcentaje de mosca muertas</t>
  </si>
  <si>
    <t>u</t>
  </si>
  <si>
    <t>media global del experimento</t>
  </si>
  <si>
    <t>ai</t>
  </si>
  <si>
    <t>efecto de los tres spray</t>
  </si>
  <si>
    <t xml:space="preserve">eij </t>
  </si>
  <si>
    <t>error aleatorio</t>
  </si>
  <si>
    <t>b)  ¿Existe diferencia entre la efectividad promedio de los productos en spray?</t>
  </si>
  <si>
    <t>suma^2</t>
  </si>
  <si>
    <t xml:space="preserve">Media </t>
  </si>
  <si>
    <t>SCT</t>
  </si>
  <si>
    <t>SCE</t>
  </si>
  <si>
    <t>SCtrat</t>
  </si>
  <si>
    <t>ANOVA</t>
  </si>
  <si>
    <t>FV</t>
  </si>
  <si>
    <t>SC</t>
  </si>
  <si>
    <t>GL</t>
  </si>
  <si>
    <t>CM</t>
  </si>
  <si>
    <t>F0</t>
  </si>
  <si>
    <t>FT</t>
  </si>
  <si>
    <t>MARCAS_S</t>
  </si>
  <si>
    <t>ERROR</t>
  </si>
  <si>
    <t>No existe diferencia entre la efectividad promedio de los productos en spray</t>
  </si>
  <si>
    <t>c) ¿Hay algún spray mejor? Argumente su respuesta.</t>
  </si>
  <si>
    <r>
      <rPr>
        <b/>
        <sz val="11"/>
        <color theme="1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2,79&lt;3,68 se acepta H0, No hay diferencia </t>
    </r>
  </si>
  <si>
    <t>Se puede considerar que el spray 1 es el mejor en promedio tiene un 69% de moscas muertas</t>
  </si>
  <si>
    <t xml:space="preserve">d) Dé un intervalo al 95% de confianza para la efectividad promedio (porcentaje) de </t>
  </si>
  <si>
    <t>cada una de las marcas.</t>
  </si>
  <si>
    <t>coeficiente</t>
  </si>
  <si>
    <t>t0,025;15</t>
  </si>
  <si>
    <t>talfa/2;gle*raiz(cme/n)</t>
  </si>
  <si>
    <t>li</t>
  </si>
  <si>
    <t>lc</t>
  </si>
  <si>
    <t>ls</t>
  </si>
  <si>
    <t>M1</t>
  </si>
  <si>
    <t>M2</t>
  </si>
  <si>
    <t>M3</t>
  </si>
  <si>
    <t>[52,83;65,5]</t>
  </si>
  <si>
    <t>[56,5;69,17]</t>
  </si>
  <si>
    <t>[62,66;75,34]</t>
  </si>
  <si>
    <t>E) Dibuje las gráficas de medias y los diagramas de caja simultáneos, después interprételo</t>
  </si>
  <si>
    <t>pero si hay una mínima diferencia entre el spray 1</t>
  </si>
  <si>
    <t>considerando el más efectivo</t>
  </si>
  <si>
    <r>
      <rPr>
        <b/>
        <sz val="11"/>
        <color theme="1"/>
        <rFont val="Calibri"/>
        <family val="2"/>
        <scheme val="minor"/>
      </rPr>
      <t xml:space="preserve">Interpretación: </t>
    </r>
    <r>
      <rPr>
        <sz val="11"/>
        <color theme="1"/>
        <rFont val="Calibri"/>
        <family val="2"/>
        <scheme val="minor"/>
      </rPr>
      <t>Estadisticamente las 3 marxcas son iguales</t>
    </r>
  </si>
  <si>
    <t>El spray 1 es el que mayor efectividad presenta con menor dispersión</t>
  </si>
  <si>
    <t>en las muestras tomas, lo contrario del spray 2 y 3hay mayor variabilidad</t>
  </si>
  <si>
    <t>f ) Verifique los supuestos de normalidad</t>
  </si>
  <si>
    <t>H0: los residuos del spray 1 se distribuyen normalmente</t>
  </si>
  <si>
    <t>H1: los residuos del spray 1 no se distribuyen normalmente</t>
  </si>
  <si>
    <t>residuo</t>
  </si>
  <si>
    <t>(i-0,5)/6</t>
  </si>
  <si>
    <t>probabilidad</t>
  </si>
  <si>
    <r>
      <rPr>
        <b/>
        <sz val="11"/>
        <color rgb="FFFF0000"/>
        <rFont val="Calibri"/>
        <family val="2"/>
        <scheme val="minor"/>
      </rPr>
      <t xml:space="preserve">Interpretación: </t>
    </r>
    <r>
      <rPr>
        <sz val="11"/>
        <color theme="1"/>
        <rFont val="Calibri"/>
        <family val="2"/>
        <scheme val="minor"/>
      </rPr>
      <t>Los datos se encuentran alineados por lo tanto se acepta h0</t>
    </r>
  </si>
  <si>
    <t>los residuos del spray 1 se distribuyen normalmente</t>
  </si>
  <si>
    <t>Total</t>
  </si>
  <si>
    <t>Interpretación: -20,98&lt;5,99 se acepta h0</t>
  </si>
  <si>
    <t xml:space="preserve"> Las varianzas poblacionales son iguales</t>
  </si>
  <si>
    <t>2,049&gt;1,69 se acepta h0, la correlación entre residuos es 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</si>
</sst>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</font>
    <font>
      <sz val="10"/>
      <color theme="1"/>
      <name val="Calibri"/>
      <family val="2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1" fillId="3" borderId="0" xfId="0" applyFont="1" applyFill="1"/>
    <xf numFmtId="0" fontId="1" fillId="0" borderId="1" xfId="0" applyFon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3" borderId="1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1" fillId="0" borderId="16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right"/>
    </xf>
    <xf numFmtId="0" fontId="7" fillId="0" borderId="15" xfId="0" applyFont="1" applyBorder="1" applyAlignment="1"/>
    <xf numFmtId="0" fontId="7" fillId="0" borderId="0" xfId="0" applyFont="1" applyAlignment="1"/>
    <xf numFmtId="0" fontId="7" fillId="0" borderId="5" xfId="0" applyFont="1" applyBorder="1" applyAlignment="1"/>
    <xf numFmtId="0" fontId="0" fillId="2" borderId="0" xfId="0" applyFill="1"/>
    <xf numFmtId="0" fontId="6" fillId="0" borderId="1" xfId="0" applyFont="1" applyBorder="1" applyAlignment="1">
      <alignment horizontal="center"/>
    </xf>
    <xf numFmtId="0" fontId="0" fillId="2" borderId="1" xfId="0" applyFill="1" applyBorder="1"/>
    <xf numFmtId="0" fontId="8" fillId="2" borderId="0" xfId="0" applyFont="1" applyFill="1"/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2" fontId="0" fillId="0" borderId="1" xfId="0" applyNumberFormat="1" applyBorder="1"/>
    <xf numFmtId="0" fontId="6" fillId="0" borderId="1" xfId="0" applyFont="1" applyFill="1" applyBorder="1" applyAlignment="1">
      <alignment horizontal="center"/>
    </xf>
    <xf numFmtId="0" fontId="1" fillId="2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2" fontId="0" fillId="0" borderId="1" xfId="0" applyNumberFormat="1" applyFill="1" applyBorder="1" applyAlignment="1">
      <alignment horizontal="center"/>
    </xf>
    <xf numFmtId="165" fontId="0" fillId="5" borderId="0" xfId="0" applyNumberFormat="1" applyFill="1"/>
    <xf numFmtId="0" fontId="4" fillId="0" borderId="16" xfId="0" applyFont="1" applyBorder="1" applyAlignment="1">
      <alignment horizontal="center"/>
    </xf>
    <xf numFmtId="0" fontId="6" fillId="0" borderId="1" xfId="0" applyFon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5" borderId="0" xfId="0" applyFill="1"/>
    <xf numFmtId="2" fontId="0" fillId="3" borderId="17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14" fillId="0" borderId="0" xfId="0" applyFont="1"/>
    <xf numFmtId="0" fontId="0" fillId="3" borderId="1" xfId="0" applyFill="1" applyBorder="1"/>
    <xf numFmtId="0" fontId="0" fillId="7" borderId="1" xfId="0" applyFill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ill="1" applyBorder="1"/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3" fillId="0" borderId="1" xfId="0" applyFont="1" applyFill="1" applyBorder="1"/>
    <xf numFmtId="2" fontId="13" fillId="0" borderId="1" xfId="0" applyNumberFormat="1" applyFont="1" applyBorder="1" applyAlignment="1">
      <alignment horizontal="center"/>
    </xf>
    <xf numFmtId="0" fontId="0" fillId="7" borderId="0" xfId="0" applyFill="1"/>
    <xf numFmtId="2" fontId="15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2" fontId="0" fillId="7" borderId="0" xfId="0" applyNumberFormat="1" applyFill="1"/>
    <xf numFmtId="2" fontId="0" fillId="7" borderId="1" xfId="0" applyNumberFormat="1" applyFill="1" applyBorder="1"/>
    <xf numFmtId="2" fontId="6" fillId="7" borderId="1" xfId="0" applyNumberFormat="1" applyFont="1" applyFill="1" applyBorder="1"/>
    <xf numFmtId="0" fontId="0" fillId="0" borderId="0" xfId="0" applyFont="1" applyFill="1"/>
    <xf numFmtId="0" fontId="1" fillId="0" borderId="17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Ej_norm!$B$12:$B$21</c:f>
              <c:numCache>
                <c:formatCode>General</c:formatCode>
                <c:ptCount val="10"/>
                <c:pt idx="0">
                  <c:v>39.9</c:v>
                </c:pt>
                <c:pt idx="1">
                  <c:v>41.7</c:v>
                </c:pt>
                <c:pt idx="2">
                  <c:v>43.9</c:v>
                </c:pt>
                <c:pt idx="3">
                  <c:v>46.5</c:v>
                </c:pt>
                <c:pt idx="4">
                  <c:v>48.6</c:v>
                </c:pt>
                <c:pt idx="5">
                  <c:v>48.6</c:v>
                </c:pt>
                <c:pt idx="6">
                  <c:v>48.8</c:v>
                </c:pt>
                <c:pt idx="7">
                  <c:v>50.4</c:v>
                </c:pt>
                <c:pt idx="8">
                  <c:v>50.6</c:v>
                </c:pt>
                <c:pt idx="9">
                  <c:v>51.5</c:v>
                </c:pt>
              </c:numCache>
            </c:numRef>
          </c:xVal>
          <c:yVal>
            <c:numRef>
              <c:f>Ej_norm!$E$12:$E$21</c:f>
              <c:numCache>
                <c:formatCode>0.00</c:formatCode>
                <c:ptCount val="10"/>
                <c:pt idx="0">
                  <c:v>-1.6448536269514726</c:v>
                </c:pt>
                <c:pt idx="1">
                  <c:v>-1.0364333894937898</c:v>
                </c:pt>
                <c:pt idx="2">
                  <c:v>-0.67448975019608193</c:v>
                </c:pt>
                <c:pt idx="3">
                  <c:v>-0.38532046640756784</c:v>
                </c:pt>
                <c:pt idx="4">
                  <c:v>-0.12566134685507402</c:v>
                </c:pt>
                <c:pt idx="5">
                  <c:v>0.12566134685507416</c:v>
                </c:pt>
                <c:pt idx="6">
                  <c:v>0.38532046640756784</c:v>
                </c:pt>
                <c:pt idx="7">
                  <c:v>0.67448975019608193</c:v>
                </c:pt>
                <c:pt idx="8">
                  <c:v>1.0364333894937898</c:v>
                </c:pt>
                <c:pt idx="9">
                  <c:v>1.6448536269514715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C-4EEA-81EB-1E12B1D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60160"/>
        <c:axId val="617072224"/>
      </c:scatterChart>
      <c:valAx>
        <c:axId val="617060160"/>
        <c:scaling>
          <c:orientation val="minMax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Residuo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17072224"/>
        <c:crosses val="autoZero"/>
        <c:crossBetween val="midCat"/>
      </c:valAx>
      <c:valAx>
        <c:axId val="61707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1706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Ej_norm!$D$43:$D$49</c:f>
              <c:numCache>
                <c:formatCode>0.00</c:formatCode>
                <c:ptCount val="7"/>
                <c:pt idx="0">
                  <c:v>1.8571428571428239E-2</c:v>
                </c:pt>
                <c:pt idx="1">
                  <c:v>6.142857142857161E-2</c:v>
                </c:pt>
                <c:pt idx="2">
                  <c:v>6.8571428571428283E-2</c:v>
                </c:pt>
                <c:pt idx="3">
                  <c:v>6.8571428571428283E-2</c:v>
                </c:pt>
                <c:pt idx="4">
                  <c:v>8.1428571428571628E-2</c:v>
                </c:pt>
                <c:pt idx="5">
                  <c:v>0.16857142857142837</c:v>
                </c:pt>
                <c:pt idx="6">
                  <c:v>0.18142857142857172</c:v>
                </c:pt>
              </c:numCache>
            </c:numRef>
          </c:xVal>
          <c:yVal>
            <c:numRef>
              <c:f>Ej_norm!$G$43:$G$49</c:f>
              <c:numCache>
                <c:formatCode>0.00</c:formatCode>
                <c:ptCount val="7"/>
                <c:pt idx="0">
                  <c:v>-1.4652337926855223</c:v>
                </c:pt>
                <c:pt idx="1">
                  <c:v>-0.79163860774337469</c:v>
                </c:pt>
                <c:pt idx="2">
                  <c:v>-0.36610635680056969</c:v>
                </c:pt>
                <c:pt idx="3">
                  <c:v>0</c:v>
                </c:pt>
                <c:pt idx="4">
                  <c:v>0.3661063568005698</c:v>
                </c:pt>
                <c:pt idx="5">
                  <c:v>0.79163860774337469</c:v>
                </c:pt>
                <c:pt idx="6">
                  <c:v>1.4652337926855228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7-4367-9775-D4B226310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822239"/>
        <c:axId val="1103820319"/>
      </c:scatterChart>
      <c:valAx>
        <c:axId val="11038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3820319"/>
        <c:crosses val="autoZero"/>
        <c:crossBetween val="midCat"/>
      </c:valAx>
      <c:valAx>
        <c:axId val="110382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3822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Efectividad Spray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Ejerc_compl!$B$49:$D$49</c:f>
              <c:strCache>
                <c:ptCount val="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</c:strCache>
            </c:strRef>
          </c:cat>
          <c:val>
            <c:numRef>
              <c:f>Ejerc_compl!$B$50:$D$50</c:f>
              <c:numCache>
                <c:formatCode>0.00</c:formatCode>
                <c:ptCount val="3"/>
                <c:pt idx="0">
                  <c:v>75.337255095146475</c:v>
                </c:pt>
                <c:pt idx="1">
                  <c:v>65.503921761813146</c:v>
                </c:pt>
                <c:pt idx="2">
                  <c:v>69.170588428479817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8D-4449-B3AB-AFDA893A85B5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Ejerc_compl!$B$49:$D$49</c:f>
              <c:strCache>
                <c:ptCount val="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</c:strCache>
            </c:strRef>
          </c:cat>
          <c:val>
            <c:numRef>
              <c:f>Ejerc_compl!$B$51:$D$51</c:f>
              <c:numCache>
                <c:formatCode>0.00</c:formatCode>
                <c:ptCount val="3"/>
                <c:pt idx="0">
                  <c:v>69</c:v>
                </c:pt>
                <c:pt idx="1">
                  <c:v>59.166666666666664</c:v>
                </c:pt>
                <c:pt idx="2">
                  <c:v>62.833333333333336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D-4449-B3AB-AFDA893A85B5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Ejerc_compl!$B$49:$D$49</c:f>
              <c:strCache>
                <c:ptCount val="3"/>
                <c:pt idx="0">
                  <c:v>M1</c:v>
                </c:pt>
                <c:pt idx="1">
                  <c:v>M2</c:v>
                </c:pt>
                <c:pt idx="2">
                  <c:v>M3</c:v>
                </c:pt>
              </c:strCache>
            </c:strRef>
          </c:cat>
          <c:val>
            <c:numRef>
              <c:f>Ejerc_compl!$B$52:$D$52</c:f>
              <c:numCache>
                <c:formatCode>0.00</c:formatCode>
                <c:ptCount val="3"/>
                <c:pt idx="0">
                  <c:v>62.662744904853525</c:v>
                </c:pt>
                <c:pt idx="1">
                  <c:v>52.829411571520183</c:v>
                </c:pt>
                <c:pt idx="2">
                  <c:v>56.496078238186854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8D-4449-B3AB-AFDA893A8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818679120"/>
        <c:axId val="1818668560"/>
      </c:stockChart>
      <c:catAx>
        <c:axId val="1818679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marca de spray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18668560"/>
        <c:crosses val="autoZero"/>
        <c:auto val="1"/>
        <c:lblAlgn val="ctr"/>
        <c:lblOffset val="100"/>
        <c:noMultiLvlLbl val="0"/>
      </c:catAx>
      <c:valAx>
        <c:axId val="18186685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 moscas muertas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186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 Spray1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Ejerc_compl!$C$92:$C$97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Ejerc_compl!$F$92:$F$97</c:f>
              <c:numCache>
                <c:formatCode>0.00</c:formatCode>
                <c:ptCount val="6"/>
                <c:pt idx="0">
                  <c:v>-1.3829941271006392</c:v>
                </c:pt>
                <c:pt idx="1">
                  <c:v>-0.67448975019608193</c:v>
                </c:pt>
                <c:pt idx="2">
                  <c:v>-0.21042839424792467</c:v>
                </c:pt>
                <c:pt idx="3">
                  <c:v>0.21042839424792484</c:v>
                </c:pt>
                <c:pt idx="4">
                  <c:v>0.67448975019608193</c:v>
                </c:pt>
                <c:pt idx="5">
                  <c:v>1.3829941271006372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5-4350-B19D-E4B3DE7E0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9862736"/>
        <c:axId val="1919863216"/>
      </c:scatterChart>
      <c:valAx>
        <c:axId val="191986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19863216"/>
        <c:crosses val="autoZero"/>
        <c:crossBetween val="midCat"/>
      </c:valAx>
      <c:valAx>
        <c:axId val="191986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19862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_xlchart.v1.3</cx:f>
      </cx:numDim>
    </cx:data>
    <cx:data id="1">
      <cx:numDim type="val">
        <cx:f dir="row">_xlchart.v1.4</cx:f>
      </cx:numDim>
    </cx:data>
    <cx:data id="2">
      <cx:numDim type="val">
        <cx:f dir="row">_xlchart.v1.5</cx:f>
      </cx:numDim>
    </cx:data>
  </cx:chartData>
  <cx:chart>
    <cx:title pos="t" align="ctr" overlay="0">
      <cx:tx>
        <cx:txData>
          <cx:v>Efectividad Spray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Efectividad Spray</a:t>
          </a:r>
        </a:p>
      </cx:txPr>
    </cx:title>
    <cx:plotArea>
      <cx:plotAreaRegion>
        <cx:series layoutId="boxWhisker" uniqueId="{713A06EC-C8D0-4729-B480-229ED560272A}">
          <cx:tx>
            <cx:txData>
              <cx:v>M1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2C12A321-1A4B-4A6C-87D2-87BFB3F51C25}">
          <cx:tx>
            <cx:txData>
              <cx:v>M2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6DF8D212-C3BE-444E-AE3C-34A1B87E60D3}">
          <cx:tx>
            <cx:txData>
              <cx:v>M3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</cx:plotAreaRegion>
      <cx:axis id="0" hidden="1">
        <cx:catScaling gapWidth="1"/>
        <cx:title>
          <cx:tx>
            <cx:txData>
              <cx:v>marcas de spray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marcas de spray</a:t>
              </a:r>
            </a:p>
          </cx:txPr>
        </cx:title>
        <cx:tickLabels/>
      </cx:axis>
      <cx:axis id="1">
        <cx:valScaling min="40"/>
        <cx:title>
          <cx:tx>
            <cx:txData>
              <cx:v>% de moscas muertas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% de moscas muertas</a:t>
              </a:r>
            </a:p>
          </cx:txPr>
        </cx:title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microsoft.com/office/2014/relationships/chartEx" Target="../charts/chartEx1.xml"/><Relationship Id="rId1" Type="http://schemas.openxmlformats.org/officeDocument/2006/relationships/chart" Target="../charts/chart3.xml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88868</xdr:colOff>
      <xdr:row>5</xdr:row>
      <xdr:rowOff>13176</xdr:rowOff>
    </xdr:from>
    <xdr:ext cx="59612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946868" y="965676"/>
              <a:ext cx="596125" cy="38036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−0,5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A331BB1C-5665-4695-A062-7A165091FEFC}"/>
                </a:ext>
              </a:extLst>
            </xdr:cNvPr>
            <xdr:cNvSpPr txBox="1"/>
          </xdr:nvSpPr>
          <xdr:spPr>
            <a:xfrm>
              <a:off x="6946868" y="965676"/>
              <a:ext cx="596125" cy="38036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((</a:t>
              </a:r>
              <a:r>
                <a:rPr lang="es-MX" sz="1100" b="0" i="0">
                  <a:latin typeface="Cambria Math" panose="02040503050406030204" pitchFamily="18" charset="0"/>
                </a:rPr>
                <a:t>𝑖−0,5)/𝑁)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10</xdr:col>
      <xdr:colOff>85726</xdr:colOff>
      <xdr:row>3</xdr:row>
      <xdr:rowOff>28575</xdr:rowOff>
    </xdr:from>
    <xdr:to>
      <xdr:col>15</xdr:col>
      <xdr:colOff>83440</xdr:colOff>
      <xdr:row>13</xdr:row>
      <xdr:rowOff>45553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6" y="600075"/>
          <a:ext cx="3807714" cy="1921978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21</xdr:row>
      <xdr:rowOff>123825</xdr:rowOff>
    </xdr:from>
    <xdr:to>
      <xdr:col>6</xdr:col>
      <xdr:colOff>171450</xdr:colOff>
      <xdr:row>36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101600</xdr:colOff>
      <xdr:row>49</xdr:row>
      <xdr:rowOff>133350</xdr:rowOff>
    </xdr:from>
    <xdr:to>
      <xdr:col>8</xdr:col>
      <xdr:colOff>101600</xdr:colOff>
      <xdr:row>64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AA9F0E-3AA7-6328-0C24-32CA6F924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3</xdr:row>
      <xdr:rowOff>0</xdr:rowOff>
    </xdr:from>
    <xdr:to>
      <xdr:col>11</xdr:col>
      <xdr:colOff>312395</xdr:colOff>
      <xdr:row>15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6780" y="365760"/>
          <a:ext cx="4495775" cy="2329815"/>
        </a:xfrm>
        <a:prstGeom prst="rect">
          <a:avLst/>
        </a:prstGeom>
      </xdr:spPr>
    </xdr:pic>
    <xdr:clientData/>
  </xdr:twoCellAnchor>
  <xdr:twoCellAnchor editAs="oneCell">
    <xdr:from>
      <xdr:col>5</xdr:col>
      <xdr:colOff>594361</xdr:colOff>
      <xdr:row>15</xdr:row>
      <xdr:rowOff>91440</xdr:rowOff>
    </xdr:from>
    <xdr:to>
      <xdr:col>11</xdr:col>
      <xdr:colOff>167640</xdr:colOff>
      <xdr:row>27</xdr:row>
      <xdr:rowOff>151847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9641" y="2651760"/>
          <a:ext cx="4328159" cy="2254967"/>
        </a:xfrm>
        <a:prstGeom prst="rect">
          <a:avLst/>
        </a:prstGeom>
      </xdr:spPr>
    </xdr:pic>
    <xdr:clientData/>
  </xdr:twoCellAnchor>
  <xdr:oneCellAnchor>
    <xdr:from>
      <xdr:col>0</xdr:col>
      <xdr:colOff>525780</xdr:colOff>
      <xdr:row>16</xdr:row>
      <xdr:rowOff>114300</xdr:rowOff>
    </xdr:from>
    <xdr:ext cx="1211580" cy="4419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525780" y="304038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𝒑</m:t>
                        </m:r>
                      </m:sub>
                      <m:sup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bSup>
                    <m:r>
                      <a:rPr lang="es-ES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𝑺𝑪𝒊</m:t>
                        </m:r>
                      </m:num>
                      <m:den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𝑵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es-EC" sz="1600" b="1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C042D45-EE4E-421B-B172-FAFF26F69CF6}"/>
                </a:ext>
              </a:extLst>
            </xdr:cNvPr>
            <xdr:cNvSpPr txBox="1"/>
          </xdr:nvSpPr>
          <xdr:spPr>
            <a:xfrm>
              <a:off x="525780" y="304038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600" b="1" i="0">
                  <a:latin typeface="Cambria Math" panose="02040503050406030204" pitchFamily="18" charset="0"/>
                </a:rPr>
                <a:t>𝑺</a:t>
              </a:r>
              <a:r>
                <a:rPr lang="es-EC" sz="1600" b="1" i="0">
                  <a:latin typeface="Cambria Math" panose="02040503050406030204" pitchFamily="18" charset="0"/>
                </a:rPr>
                <a:t>_</a:t>
              </a:r>
              <a:r>
                <a:rPr lang="es-ES" sz="1600" b="1" i="0">
                  <a:latin typeface="Cambria Math" panose="02040503050406030204" pitchFamily="18" charset="0"/>
                </a:rPr>
                <a:t>𝒑</a:t>
              </a:r>
              <a:r>
                <a:rPr lang="es-EC" sz="1600" b="1" i="0">
                  <a:latin typeface="Cambria Math" panose="02040503050406030204" pitchFamily="18" charset="0"/>
                </a:rPr>
                <a:t>^</a:t>
              </a:r>
              <a:r>
                <a:rPr lang="es-ES" sz="1600" b="1" i="0">
                  <a:latin typeface="Cambria Math" panose="02040503050406030204" pitchFamily="18" charset="0"/>
                </a:rPr>
                <a:t>𝟐=𝑺𝑪𝒊</a:t>
              </a:r>
              <a:r>
                <a:rPr lang="es-EC" sz="1600" b="1" i="0">
                  <a:latin typeface="Cambria Math" panose="02040503050406030204" pitchFamily="18" charset="0"/>
                </a:rPr>
                <a:t>/(</a:t>
              </a:r>
              <a:r>
                <a:rPr lang="es-ES" sz="1600" b="1" i="0">
                  <a:latin typeface="Cambria Math" panose="02040503050406030204" pitchFamily="18" charset="0"/>
                </a:rPr>
                <a:t>𝑵−𝒌</a:t>
              </a:r>
              <a:r>
                <a:rPr lang="es-EC" sz="1600" b="1" i="0">
                  <a:latin typeface="Cambria Math" panose="02040503050406030204" pitchFamily="18" charset="0"/>
                </a:rPr>
                <a:t>)</a:t>
              </a:r>
              <a:endParaRPr lang="es-EC" sz="1600" b="1"/>
            </a:p>
          </xdr:txBody>
        </xdr:sp>
      </mc:Fallback>
    </mc:AlternateContent>
    <xdr:clientData/>
  </xdr:oneCellAnchor>
  <xdr:twoCellAnchor editAs="oneCell">
    <xdr:from>
      <xdr:col>11</xdr:col>
      <xdr:colOff>312421</xdr:colOff>
      <xdr:row>3</xdr:row>
      <xdr:rowOff>83820</xdr:rowOff>
    </xdr:from>
    <xdr:to>
      <xdr:col>17</xdr:col>
      <xdr:colOff>189548</xdr:colOff>
      <xdr:row>17</xdr:row>
      <xdr:rowOff>122658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12581" y="449580"/>
          <a:ext cx="4632007" cy="259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19</xdr:row>
      <xdr:rowOff>152400</xdr:rowOff>
    </xdr:from>
    <xdr:to>
      <xdr:col>3</xdr:col>
      <xdr:colOff>361950</xdr:colOff>
      <xdr:row>25</xdr:row>
      <xdr:rowOff>144780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627120"/>
          <a:ext cx="291084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174250</xdr:colOff>
      <xdr:row>19</xdr:row>
      <xdr:rowOff>104445</xdr:rowOff>
    </xdr:from>
    <xdr:to>
      <xdr:col>16</xdr:col>
      <xdr:colOff>661035</xdr:colOff>
      <xdr:row>28</xdr:row>
      <xdr:rowOff>45720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74410" y="3396285"/>
          <a:ext cx="4449185" cy="1587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211580" cy="4419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9E96CCB-0AAF-4F7E-B0E6-FE346BFF013D}"/>
                </a:ext>
              </a:extLst>
            </xdr:cNvPr>
            <xdr:cNvSpPr txBox="1"/>
          </xdr:nvSpPr>
          <xdr:spPr>
            <a:xfrm>
              <a:off x="0" y="367665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𝒑</m:t>
                        </m:r>
                      </m:sub>
                      <m:sup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bSup>
                    <m:r>
                      <a:rPr lang="es-ES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𝑺𝑪𝒊</m:t>
                        </m:r>
                      </m:num>
                      <m:den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𝑵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es-EC" sz="1600" b="1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9E96CCB-0AAF-4F7E-B0E6-FE346BFF013D}"/>
                </a:ext>
              </a:extLst>
            </xdr:cNvPr>
            <xdr:cNvSpPr txBox="1"/>
          </xdr:nvSpPr>
          <xdr:spPr>
            <a:xfrm>
              <a:off x="0" y="367665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ES" sz="1600" b="1" i="0">
                  <a:latin typeface="Cambria Math" panose="02040503050406030204" pitchFamily="18" charset="0"/>
                </a:rPr>
                <a:t>𝑺</a:t>
              </a:r>
              <a:r>
                <a:rPr lang="es-EC" sz="1600" b="1" i="0">
                  <a:latin typeface="Cambria Math" panose="02040503050406030204" pitchFamily="18" charset="0"/>
                </a:rPr>
                <a:t>_</a:t>
              </a:r>
              <a:r>
                <a:rPr lang="es-ES" sz="1600" b="1" i="0">
                  <a:latin typeface="Cambria Math" panose="02040503050406030204" pitchFamily="18" charset="0"/>
                </a:rPr>
                <a:t>𝒑^𝟐=𝑺𝑪𝒊</a:t>
              </a:r>
              <a:r>
                <a:rPr lang="es-EC" sz="1600" b="1" i="0">
                  <a:latin typeface="Cambria Math" panose="02040503050406030204" pitchFamily="18" charset="0"/>
                </a:rPr>
                <a:t>/(</a:t>
              </a:r>
              <a:r>
                <a:rPr lang="es-ES" sz="1600" b="1" i="0">
                  <a:latin typeface="Cambria Math" panose="02040503050406030204" pitchFamily="18" charset="0"/>
                </a:rPr>
                <a:t>𝑵−𝒌</a:t>
              </a:r>
              <a:r>
                <a:rPr lang="es-EC" sz="1600" b="1" i="0">
                  <a:latin typeface="Cambria Math" panose="02040503050406030204" pitchFamily="18" charset="0"/>
                </a:rPr>
                <a:t>)</a:t>
              </a:r>
              <a:endParaRPr lang="es-EC" sz="1600" b="1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23</xdr:row>
      <xdr:rowOff>0</xdr:rowOff>
    </xdr:from>
    <xdr:to>
      <xdr:col>3</xdr:col>
      <xdr:colOff>140970</xdr:colOff>
      <xdr:row>28</xdr:row>
      <xdr:rowOff>182880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E8D2DC-CD4E-4BF9-B6A1-ABDF4ABB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"/>
          <a:ext cx="2827020" cy="11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6</xdr:row>
      <xdr:rowOff>123825</xdr:rowOff>
    </xdr:from>
    <xdr:ext cx="854786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SpPr txBox="1"/>
          </xdr:nvSpPr>
          <xdr:spPr>
            <a:xfrm>
              <a:off x="2305050" y="885825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2305050" y="885825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𝑖𝑗=𝑌_𝑖𝑗−𝑌 ̂_𝑖𝑗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19050</xdr:colOff>
      <xdr:row>8</xdr:row>
      <xdr:rowOff>156210</xdr:rowOff>
    </xdr:from>
    <xdr:ext cx="7668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CuadroTexto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SpPr txBox="1"/>
          </xdr:nvSpPr>
          <xdr:spPr>
            <a:xfrm>
              <a:off x="9193530" y="1436370"/>
              <a:ext cx="766813" cy="172227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𝑒</m:t>
                      </m:r>
                    </m:e>
                    <m:sub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𝑖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−1</m:t>
                      </m:r>
                    </m:sub>
                  </m:sSub>
                </m:oMath>
              </a14:m>
              <a:r>
                <a:rPr lang="en-US" sz="1100"/>
                <a:t>   i=2,...,n</a:t>
              </a:r>
            </a:p>
          </xdr:txBody>
        </xdr:sp>
      </mc:Choice>
      <mc:Fallback xmlns="">
        <xdr:sp macro="" textlink="">
          <xdr:nvSpPr>
            <xdr:cNvPr id="50" name="CuadroTexto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SpPr txBox="1"/>
          </xdr:nvSpPr>
          <xdr:spPr>
            <a:xfrm>
              <a:off x="9193530" y="1436370"/>
              <a:ext cx="766813" cy="172227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es-ES" sz="1100" b="0" i="0">
                  <a:latin typeface="Cambria Math" panose="02040503050406030204" pitchFamily="18" charset="0"/>
                </a:rPr>
                <a:t>𝑖−1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en-US" sz="1100"/>
                <a:t>   i=2,...,n</a:t>
              </a:r>
            </a:p>
          </xdr:txBody>
        </xdr:sp>
      </mc:Fallback>
    </mc:AlternateContent>
    <xdr:clientData/>
  </xdr:oneCellAnchor>
  <xdr:oneCellAnchor>
    <xdr:from>
      <xdr:col>5</xdr:col>
      <xdr:colOff>28575</xdr:colOff>
      <xdr:row>6</xdr:row>
      <xdr:rowOff>123825</xdr:rowOff>
    </xdr:from>
    <xdr:ext cx="73956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CuadroTexto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SpPr txBox="1"/>
          </xdr:nvSpPr>
          <xdr:spPr>
            <a:xfrm>
              <a:off x="4219575" y="885825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" name="CuadroTexto 50"/>
            <xdr:cNvSpPr txBox="1"/>
          </xdr:nvSpPr>
          <xdr:spPr>
            <a:xfrm>
              <a:off x="4219575" y="885825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𝑖−𝑒_(𝑖−1)</a:t>
              </a:r>
              <a:r>
                <a:rPr lang="en-US" sz="1100" b="0" i="0">
                  <a:latin typeface="Cambria Math" panose="02040503050406030204" pitchFamily="18" charset="0"/>
                </a:rPr>
                <a:t> )^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7</xdr:col>
      <xdr:colOff>104775</xdr:colOff>
      <xdr:row>7</xdr:row>
      <xdr:rowOff>133350</xdr:rowOff>
    </xdr:from>
    <xdr:to>
      <xdr:col>10</xdr:col>
      <xdr:colOff>152400</xdr:colOff>
      <xdr:row>11</xdr:row>
      <xdr:rowOff>76200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085850"/>
          <a:ext cx="23336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361950</xdr:colOff>
      <xdr:row>6</xdr:row>
      <xdr:rowOff>142875</xdr:rowOff>
    </xdr:from>
    <xdr:ext cx="174791" cy="1810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CuadroTexto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SpPr txBox="1"/>
          </xdr:nvSpPr>
          <xdr:spPr>
            <a:xfrm>
              <a:off x="3638550" y="904875"/>
              <a:ext cx="174791" cy="1810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" name="CuadroTexto 52"/>
            <xdr:cNvSpPr txBox="1"/>
          </xdr:nvSpPr>
          <xdr:spPr>
            <a:xfrm>
              <a:off x="3638550" y="904875"/>
              <a:ext cx="174791" cy="1810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247650</xdr:colOff>
      <xdr:row>6</xdr:row>
      <xdr:rowOff>19050</xdr:rowOff>
    </xdr:from>
    <xdr:ext cx="499752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5E37E40-D19E-4049-A841-CBACDB34474B}"/>
                </a:ext>
              </a:extLst>
            </xdr:cNvPr>
            <xdr:cNvSpPr txBox="1"/>
          </xdr:nvSpPr>
          <xdr:spPr>
            <a:xfrm>
              <a:off x="3646170" y="384810"/>
              <a:ext cx="499752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.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5E37E40-D19E-4049-A841-CBACDB34474B}"/>
                </a:ext>
              </a:extLst>
            </xdr:cNvPr>
            <xdr:cNvSpPr txBox="1"/>
          </xdr:nvSpPr>
          <xdr:spPr>
            <a:xfrm>
              <a:off x="3646170" y="384810"/>
              <a:ext cx="499752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latin typeface="Cambria Math" panose="02040503050406030204" pitchFamily="18" charset="0"/>
                </a:rPr>
                <a:t> ̂_</a:t>
              </a:r>
              <a:r>
                <a:rPr lang="es-ES" sz="1100" b="0" i="0">
                  <a:latin typeface="Cambria Math" panose="02040503050406030204" pitchFamily="18" charset="0"/>
                </a:rPr>
                <a:t>𝑖𝑗=𝑌 ̅_(𝑖.)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400050</xdr:colOff>
      <xdr:row>33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0484" t="20538" r="35045" b="11003"/>
        <a:stretch/>
      </xdr:blipFill>
      <xdr:spPr bwMode="auto">
        <a:xfrm>
          <a:off x="0" y="0"/>
          <a:ext cx="5734050" cy="6438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102053</xdr:colOff>
      <xdr:row>55</xdr:row>
      <xdr:rowOff>185964</xdr:rowOff>
    </xdr:from>
    <xdr:to>
      <xdr:col>4</xdr:col>
      <xdr:colOff>86178</xdr:colOff>
      <xdr:row>67</xdr:row>
      <xdr:rowOff>49438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B8EE37-4CAB-C91F-0642-5F487A11B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181429</xdr:colOff>
      <xdr:row>71</xdr:row>
      <xdr:rowOff>145141</xdr:rowOff>
    </xdr:from>
    <xdr:to>
      <xdr:col>5</xdr:col>
      <xdr:colOff>222250</xdr:colOff>
      <xdr:row>83</xdr:row>
      <xdr:rowOff>4080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345831F-E949-0597-CC7B-37B24AAD6E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429" y="13670641"/>
              <a:ext cx="4014107" cy="2144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6</xdr:col>
      <xdr:colOff>49893</xdr:colOff>
      <xdr:row>89</xdr:row>
      <xdr:rowOff>167821</xdr:rowOff>
    </xdr:from>
    <xdr:to>
      <xdr:col>10</xdr:col>
      <xdr:colOff>331108</xdr:colOff>
      <xdr:row>102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70E99F-E96C-E9D8-D674-780AC9FBD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118</xdr:row>
      <xdr:rowOff>0</xdr:rowOff>
    </xdr:from>
    <xdr:ext cx="1211580" cy="4419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4E7CD6C-D03C-4C02-86A0-39CFDBBE3DE1}"/>
                </a:ext>
              </a:extLst>
            </xdr:cNvPr>
            <xdr:cNvSpPr txBox="1"/>
          </xdr:nvSpPr>
          <xdr:spPr>
            <a:xfrm>
              <a:off x="0" y="2247900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𝒑</m:t>
                        </m:r>
                      </m:sub>
                      <m:sup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bSup>
                    <m:r>
                      <a:rPr lang="es-ES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𝑺𝑪𝒊</m:t>
                        </m:r>
                      </m:num>
                      <m:den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𝑵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es-EC" sz="1600" b="1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4E7CD6C-D03C-4C02-86A0-39CFDBBE3DE1}"/>
                </a:ext>
              </a:extLst>
            </xdr:cNvPr>
            <xdr:cNvSpPr txBox="1"/>
          </xdr:nvSpPr>
          <xdr:spPr>
            <a:xfrm>
              <a:off x="0" y="2247900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ES" sz="1600" b="1" i="0">
                  <a:latin typeface="Cambria Math" panose="02040503050406030204" pitchFamily="18" charset="0"/>
                </a:rPr>
                <a:t>𝑺</a:t>
              </a:r>
              <a:r>
                <a:rPr lang="es-EC" sz="1600" b="1" i="0">
                  <a:latin typeface="Cambria Math" panose="02040503050406030204" pitchFamily="18" charset="0"/>
                </a:rPr>
                <a:t>_</a:t>
              </a:r>
              <a:r>
                <a:rPr lang="es-ES" sz="1600" b="1" i="0">
                  <a:latin typeface="Cambria Math" panose="02040503050406030204" pitchFamily="18" charset="0"/>
                </a:rPr>
                <a:t>𝒑^𝟐=𝑺𝑪𝒊</a:t>
              </a:r>
              <a:r>
                <a:rPr lang="es-EC" sz="1600" b="1" i="0">
                  <a:latin typeface="Cambria Math" panose="02040503050406030204" pitchFamily="18" charset="0"/>
                </a:rPr>
                <a:t>/(</a:t>
              </a:r>
              <a:r>
                <a:rPr lang="es-ES" sz="1600" b="1" i="0">
                  <a:latin typeface="Cambria Math" panose="02040503050406030204" pitchFamily="18" charset="0"/>
                </a:rPr>
                <a:t>𝑵−𝒌</a:t>
              </a:r>
              <a:r>
                <a:rPr lang="es-EC" sz="1600" b="1" i="0">
                  <a:latin typeface="Cambria Math" panose="02040503050406030204" pitchFamily="18" charset="0"/>
                </a:rPr>
                <a:t>)</a:t>
              </a:r>
              <a:endParaRPr lang="es-EC" sz="1600" b="1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121</xdr:row>
      <xdr:rowOff>0</xdr:rowOff>
    </xdr:from>
    <xdr:to>
      <xdr:col>2</xdr:col>
      <xdr:colOff>604631</xdr:colOff>
      <xdr:row>126</xdr:row>
      <xdr:rowOff>182880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776DBB-CF0E-4DB3-8E5D-870769D0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0"/>
          <a:ext cx="2459935" cy="11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19050</xdr:colOff>
      <xdr:row>135</xdr:row>
      <xdr:rowOff>123825</xdr:rowOff>
    </xdr:from>
    <xdr:ext cx="854786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C696655-6EDF-4FF8-A288-5035C5FA50BC}"/>
                </a:ext>
              </a:extLst>
            </xdr:cNvPr>
            <xdr:cNvSpPr txBox="1"/>
          </xdr:nvSpPr>
          <xdr:spPr>
            <a:xfrm>
              <a:off x="2305050" y="1266825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C696655-6EDF-4FF8-A288-5035C5FA50BC}"/>
                </a:ext>
              </a:extLst>
            </xdr:cNvPr>
            <xdr:cNvSpPr txBox="1"/>
          </xdr:nvSpPr>
          <xdr:spPr>
            <a:xfrm>
              <a:off x="2305050" y="1266825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𝑖𝑗=𝑌_𝑖𝑗−𝑌 ̂_𝑖𝑗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28575</xdr:colOff>
      <xdr:row>135</xdr:row>
      <xdr:rowOff>123825</xdr:rowOff>
    </xdr:from>
    <xdr:ext cx="739561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AC3C4F2-10C5-4996-A043-EEFCF2CB91BB}"/>
                </a:ext>
              </a:extLst>
            </xdr:cNvPr>
            <xdr:cNvSpPr txBox="1"/>
          </xdr:nvSpPr>
          <xdr:spPr>
            <a:xfrm>
              <a:off x="4295775" y="1266825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AC3C4F2-10C5-4996-A043-EEFCF2CB91BB}"/>
                </a:ext>
              </a:extLst>
            </xdr:cNvPr>
            <xdr:cNvSpPr txBox="1"/>
          </xdr:nvSpPr>
          <xdr:spPr>
            <a:xfrm>
              <a:off x="4295775" y="1266825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𝑖−𝑒_(𝑖−1) )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361950</xdr:colOff>
      <xdr:row>135</xdr:row>
      <xdr:rowOff>142875</xdr:rowOff>
    </xdr:from>
    <xdr:ext cx="174791" cy="18101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4A24FD04-A00D-40B1-8457-FB97BC31FD77}"/>
                </a:ext>
              </a:extLst>
            </xdr:cNvPr>
            <xdr:cNvSpPr txBox="1"/>
          </xdr:nvSpPr>
          <xdr:spPr>
            <a:xfrm>
              <a:off x="3638550" y="1285875"/>
              <a:ext cx="174791" cy="1810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4A24FD04-A00D-40B1-8457-FB97BC31FD77}"/>
                </a:ext>
              </a:extLst>
            </xdr:cNvPr>
            <xdr:cNvSpPr txBox="1"/>
          </xdr:nvSpPr>
          <xdr:spPr>
            <a:xfrm>
              <a:off x="3638550" y="1285875"/>
              <a:ext cx="174791" cy="1810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𝑖^2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247650</xdr:colOff>
      <xdr:row>135</xdr:row>
      <xdr:rowOff>19050</xdr:rowOff>
    </xdr:from>
    <xdr:ext cx="499752" cy="1913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9C11046-BC06-411A-AD95-6D5EE6C0EB89}"/>
                </a:ext>
              </a:extLst>
            </xdr:cNvPr>
            <xdr:cNvSpPr txBox="1"/>
          </xdr:nvSpPr>
          <xdr:spPr>
            <a:xfrm>
              <a:off x="1771650" y="1162050"/>
              <a:ext cx="499752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.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9C11046-BC06-411A-AD95-6D5EE6C0EB89}"/>
                </a:ext>
              </a:extLst>
            </xdr:cNvPr>
            <xdr:cNvSpPr txBox="1"/>
          </xdr:nvSpPr>
          <xdr:spPr>
            <a:xfrm>
              <a:off x="1771650" y="1162050"/>
              <a:ext cx="499752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latin typeface="Cambria Math" panose="02040503050406030204" pitchFamily="18" charset="0"/>
                </a:rPr>
                <a:t> ̂_</a:t>
              </a:r>
              <a:r>
                <a:rPr lang="es-ES" sz="1100" b="0" i="0">
                  <a:latin typeface="Cambria Math" panose="02040503050406030204" pitchFamily="18" charset="0"/>
                </a:rPr>
                <a:t>𝑖𝑗=𝑌 ̅_(𝑖.)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19050</xdr:colOff>
      <xdr:row>141</xdr:row>
      <xdr:rowOff>156210</xdr:rowOff>
    </xdr:from>
    <xdr:ext cx="766813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E93B463B-AA33-40D9-A0D7-7DE790394B32}"/>
                </a:ext>
              </a:extLst>
            </xdr:cNvPr>
            <xdr:cNvSpPr txBox="1"/>
          </xdr:nvSpPr>
          <xdr:spPr>
            <a:xfrm>
              <a:off x="8858250" y="1680210"/>
              <a:ext cx="766813" cy="172227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𝑒</m:t>
                      </m:r>
                    </m:e>
                    <m:sub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𝑖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−1</m:t>
                      </m:r>
                    </m:sub>
                  </m:sSub>
                </m:oMath>
              </a14:m>
              <a:r>
                <a:rPr lang="en-US" sz="1100"/>
                <a:t>   i=2,...,n</a:t>
              </a:r>
            </a:p>
          </xdr:txBody>
        </xdr:sp>
      </mc:Choice>
      <mc:Fallback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E93B463B-AA33-40D9-A0D7-7DE790394B32}"/>
                </a:ext>
              </a:extLst>
            </xdr:cNvPr>
            <xdr:cNvSpPr txBox="1"/>
          </xdr:nvSpPr>
          <xdr:spPr>
            <a:xfrm>
              <a:off x="8858250" y="1680210"/>
              <a:ext cx="766813" cy="172227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es-ES" sz="1100" b="0" i="0">
                  <a:latin typeface="Cambria Math" panose="02040503050406030204" pitchFamily="18" charset="0"/>
                </a:rPr>
                <a:t>𝑖−1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en-US" sz="1100"/>
                <a:t>   i=2,...,n</a:t>
              </a:r>
            </a:p>
          </xdr:txBody>
        </xdr:sp>
      </mc:Fallback>
    </mc:AlternateContent>
    <xdr:clientData/>
  </xdr:oneCellAnchor>
  <xdr:twoCellAnchor editAs="oneCell">
    <xdr:from>
      <xdr:col>6</xdr:col>
      <xdr:colOff>104775</xdr:colOff>
      <xdr:row>140</xdr:row>
      <xdr:rowOff>133350</xdr:rowOff>
    </xdr:from>
    <xdr:to>
      <xdr:col>9</xdr:col>
      <xdr:colOff>152400</xdr:colOff>
      <xdr:row>144</xdr:row>
      <xdr:rowOff>76200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8C30E55-487E-4473-BC39-67C2F5D5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466850"/>
          <a:ext cx="23336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opLeftCell="A42" zoomScale="150" zoomScaleNormal="150" workbookViewId="0">
      <selection activeCell="L22" sqref="L22"/>
    </sheetView>
  </sheetViews>
  <sheetFormatPr baseColWidth="10" defaultRowHeight="15" x14ac:dyDescent="0.25"/>
  <sheetData>
    <row r="1" spans="1:6" x14ac:dyDescent="0.25">
      <c r="A1" s="9" t="s">
        <v>9</v>
      </c>
    </row>
    <row r="2" spans="1:6" x14ac:dyDescent="0.25">
      <c r="A2" s="9"/>
    </row>
    <row r="3" spans="1:6" x14ac:dyDescent="0.25">
      <c r="A3" s="16" t="s">
        <v>11</v>
      </c>
      <c r="B3" s="16"/>
      <c r="C3" s="16"/>
      <c r="D3" s="16"/>
      <c r="E3" s="16"/>
      <c r="F3" t="s">
        <v>35</v>
      </c>
    </row>
    <row r="4" spans="1:6" x14ac:dyDescent="0.25">
      <c r="A4" s="16" t="s">
        <v>10</v>
      </c>
      <c r="B4" s="16"/>
      <c r="C4" s="16"/>
      <c r="D4" s="16"/>
      <c r="E4" s="16"/>
      <c r="F4" t="s">
        <v>36</v>
      </c>
    </row>
    <row r="5" spans="1:6" x14ac:dyDescent="0.25">
      <c r="A5" s="16"/>
      <c r="B5" s="16"/>
      <c r="C5" s="16"/>
      <c r="D5" s="16"/>
      <c r="E5" s="16"/>
    </row>
    <row r="6" spans="1:6" x14ac:dyDescent="0.25">
      <c r="A6" s="16" t="s">
        <v>12</v>
      </c>
      <c r="B6" s="16"/>
      <c r="C6" s="16"/>
      <c r="D6" s="16"/>
      <c r="E6" s="16"/>
    </row>
    <row r="7" spans="1:6" x14ac:dyDescent="0.25">
      <c r="A7" s="16" t="s">
        <v>13</v>
      </c>
      <c r="B7" s="16"/>
      <c r="C7" s="16"/>
      <c r="D7" s="16"/>
      <c r="E7" s="16"/>
    </row>
    <row r="8" spans="1:6" x14ac:dyDescent="0.25">
      <c r="A8" s="16" t="s">
        <v>18</v>
      </c>
      <c r="B8" s="16"/>
      <c r="C8" s="16"/>
      <c r="D8" s="16"/>
      <c r="E8" s="16"/>
    </row>
    <row r="9" spans="1:6" x14ac:dyDescent="0.25">
      <c r="A9" s="16" t="s">
        <v>19</v>
      </c>
      <c r="B9" s="16"/>
      <c r="C9" s="16"/>
      <c r="D9" s="16"/>
      <c r="E9" s="16"/>
    </row>
    <row r="10" spans="1:6" x14ac:dyDescent="0.25">
      <c r="A10" s="16"/>
      <c r="B10" s="16"/>
      <c r="C10" s="16"/>
      <c r="D10" s="16"/>
      <c r="E10" s="16"/>
    </row>
    <row r="11" spans="1:6" x14ac:dyDescent="0.25">
      <c r="A11" s="19" t="s">
        <v>8</v>
      </c>
      <c r="B11" s="20" t="s">
        <v>14</v>
      </c>
      <c r="C11" s="20" t="s">
        <v>15</v>
      </c>
      <c r="D11" s="20" t="s">
        <v>16</v>
      </c>
      <c r="E11" s="20" t="s">
        <v>17</v>
      </c>
    </row>
    <row r="12" spans="1:6" x14ac:dyDescent="0.25">
      <c r="A12" s="18">
        <v>48.8</v>
      </c>
      <c r="B12" s="17">
        <v>39.9</v>
      </c>
      <c r="C12" s="17">
        <v>1</v>
      </c>
      <c r="D12" s="17">
        <f>(C12-0.5)/10</f>
        <v>0.05</v>
      </c>
      <c r="E12" s="21">
        <f>_xlfn.NORM.S.INV(D12)</f>
        <v>-1.6448536269514726</v>
      </c>
    </row>
    <row r="13" spans="1:6" x14ac:dyDescent="0.25">
      <c r="A13" s="18">
        <v>51.5</v>
      </c>
      <c r="B13" s="17">
        <v>41.7</v>
      </c>
      <c r="C13" s="17">
        <v>2</v>
      </c>
      <c r="D13" s="17">
        <f t="shared" ref="D13:D21" si="0">(C13-0.5)/10</f>
        <v>0.15</v>
      </c>
      <c r="E13" s="21">
        <f t="shared" ref="E13:E21" si="1">_xlfn.NORM.S.INV(D13)</f>
        <v>-1.0364333894937898</v>
      </c>
    </row>
    <row r="14" spans="1:6" x14ac:dyDescent="0.25">
      <c r="A14" s="18">
        <v>50.6</v>
      </c>
      <c r="B14" s="17">
        <v>43.9</v>
      </c>
      <c r="C14" s="17">
        <v>3</v>
      </c>
      <c r="D14" s="17">
        <f t="shared" si="0"/>
        <v>0.25</v>
      </c>
      <c r="E14" s="21">
        <f t="shared" si="1"/>
        <v>-0.67448975019608193</v>
      </c>
    </row>
    <row r="15" spans="1:6" x14ac:dyDescent="0.25">
      <c r="A15" s="18">
        <v>46.5</v>
      </c>
      <c r="B15" s="17">
        <v>46.5</v>
      </c>
      <c r="C15" s="17">
        <v>4</v>
      </c>
      <c r="D15" s="17">
        <f t="shared" si="0"/>
        <v>0.35</v>
      </c>
      <c r="E15" s="21">
        <f t="shared" si="1"/>
        <v>-0.38532046640756784</v>
      </c>
    </row>
    <row r="16" spans="1:6" x14ac:dyDescent="0.25">
      <c r="A16" s="18">
        <v>41.7</v>
      </c>
      <c r="B16" s="17">
        <v>48.6</v>
      </c>
      <c r="C16" s="17">
        <v>5</v>
      </c>
      <c r="D16" s="17">
        <f t="shared" si="0"/>
        <v>0.45</v>
      </c>
      <c r="E16" s="21">
        <f t="shared" si="1"/>
        <v>-0.12566134685507402</v>
      </c>
    </row>
    <row r="17" spans="1:12" x14ac:dyDescent="0.25">
      <c r="A17" s="18">
        <v>39.9</v>
      </c>
      <c r="B17" s="17">
        <v>48.6</v>
      </c>
      <c r="C17" s="17">
        <v>6</v>
      </c>
      <c r="D17" s="17">
        <f t="shared" si="0"/>
        <v>0.55000000000000004</v>
      </c>
      <c r="E17" s="21">
        <f t="shared" si="1"/>
        <v>0.12566134685507416</v>
      </c>
    </row>
    <row r="18" spans="1:12" x14ac:dyDescent="0.25">
      <c r="A18" s="18">
        <v>50.4</v>
      </c>
      <c r="B18" s="17">
        <v>48.8</v>
      </c>
      <c r="C18" s="17">
        <v>7</v>
      </c>
      <c r="D18" s="17">
        <f t="shared" si="0"/>
        <v>0.65</v>
      </c>
      <c r="E18" s="21">
        <f t="shared" si="1"/>
        <v>0.38532046640756784</v>
      </c>
      <c r="J18" s="32" t="s">
        <v>65</v>
      </c>
      <c r="K18" s="32"/>
    </row>
    <row r="19" spans="1:12" x14ac:dyDescent="0.25">
      <c r="A19" s="18">
        <v>43.9</v>
      </c>
      <c r="B19" s="17">
        <v>50.4</v>
      </c>
      <c r="C19" s="17">
        <v>8</v>
      </c>
      <c r="D19" s="17">
        <f t="shared" si="0"/>
        <v>0.75</v>
      </c>
      <c r="E19" s="21">
        <f t="shared" si="1"/>
        <v>0.67448975019608193</v>
      </c>
      <c r="J19" t="s">
        <v>66</v>
      </c>
      <c r="L19" t="s">
        <v>68</v>
      </c>
    </row>
    <row r="20" spans="1:12" x14ac:dyDescent="0.25">
      <c r="A20" s="18">
        <v>48.6</v>
      </c>
      <c r="B20" s="17">
        <v>50.6</v>
      </c>
      <c r="C20" s="17">
        <v>9</v>
      </c>
      <c r="D20" s="17">
        <f t="shared" si="0"/>
        <v>0.85</v>
      </c>
      <c r="E20" s="21">
        <f t="shared" si="1"/>
        <v>1.0364333894937898</v>
      </c>
      <c r="J20" t="s">
        <v>67</v>
      </c>
    </row>
    <row r="21" spans="1:12" x14ac:dyDescent="0.25">
      <c r="A21" s="18">
        <v>48.6</v>
      </c>
      <c r="B21" s="17">
        <v>51.5</v>
      </c>
      <c r="C21" s="17">
        <v>10</v>
      </c>
      <c r="D21" s="17">
        <f t="shared" si="0"/>
        <v>0.95</v>
      </c>
      <c r="E21" s="21">
        <f t="shared" si="1"/>
        <v>1.6448536269514715</v>
      </c>
    </row>
    <row r="22" spans="1:12" x14ac:dyDescent="0.25">
      <c r="E22" s="21"/>
    </row>
    <row r="38" spans="1:7" x14ac:dyDescent="0.25">
      <c r="B38" t="s">
        <v>37</v>
      </c>
    </row>
    <row r="41" spans="1:7" ht="18.75" x14ac:dyDescent="0.3">
      <c r="A41" s="50" t="s">
        <v>54</v>
      </c>
      <c r="B41" t="s">
        <v>64</v>
      </c>
      <c r="F41" t="s">
        <v>59</v>
      </c>
    </row>
    <row r="42" spans="1:7" x14ac:dyDescent="0.25">
      <c r="B42" s="48" t="s">
        <v>55</v>
      </c>
      <c r="C42" s="48" t="s">
        <v>57</v>
      </c>
      <c r="D42" s="51" t="s">
        <v>14</v>
      </c>
      <c r="E42" s="54" t="s">
        <v>58</v>
      </c>
      <c r="F42" s="48" t="s">
        <v>60</v>
      </c>
      <c r="G42" s="57" t="s">
        <v>17</v>
      </c>
    </row>
    <row r="43" spans="1:7" x14ac:dyDescent="0.25">
      <c r="B43" s="42">
        <v>1.65</v>
      </c>
      <c r="C43" s="21">
        <f>ABS($B$51-B43)</f>
        <v>1.8571428571428239E-2</v>
      </c>
      <c r="D43" s="21">
        <v>1.8571428571428239E-2</v>
      </c>
      <c r="E43" s="53">
        <v>1</v>
      </c>
      <c r="F43" s="21">
        <f>(E43-0.5)/7</f>
        <v>7.1428571428571425E-2</v>
      </c>
      <c r="G43" s="21">
        <f>_xlfn.NORM.S.INV(F43)</f>
        <v>-1.4652337926855223</v>
      </c>
    </row>
    <row r="44" spans="1:7" x14ac:dyDescent="0.25">
      <c r="B44" s="42">
        <v>1.7</v>
      </c>
      <c r="C44" s="21">
        <f t="shared" ref="C44:C49" si="2">ABS($B$51-B44)</f>
        <v>6.8571428571428283E-2</v>
      </c>
      <c r="D44" s="21">
        <v>6.142857142857161E-2</v>
      </c>
      <c r="E44" s="53">
        <v>2</v>
      </c>
      <c r="F44" s="21">
        <f t="shared" ref="F44:F49" si="3">(E44-0.5)/7</f>
        <v>0.21428571428571427</v>
      </c>
      <c r="G44" s="21">
        <f t="shared" ref="G44:G49" si="4">_xlfn.NORM.S.INV(F44)</f>
        <v>-0.79163860774337469</v>
      </c>
    </row>
    <row r="45" spans="1:7" x14ac:dyDescent="0.25">
      <c r="B45" s="42">
        <v>1.57</v>
      </c>
      <c r="C45" s="21">
        <f t="shared" si="2"/>
        <v>6.142857142857161E-2</v>
      </c>
      <c r="D45" s="21">
        <v>6.8571428571428283E-2</v>
      </c>
      <c r="E45" s="53">
        <v>3</v>
      </c>
      <c r="F45" s="21">
        <f t="shared" si="3"/>
        <v>0.35714285714285715</v>
      </c>
      <c r="G45" s="21">
        <f t="shared" si="4"/>
        <v>-0.36610635680056969</v>
      </c>
    </row>
    <row r="46" spans="1:7" x14ac:dyDescent="0.25">
      <c r="B46" s="42">
        <v>1.45</v>
      </c>
      <c r="C46" s="21">
        <f t="shared" si="2"/>
        <v>0.18142857142857172</v>
      </c>
      <c r="D46" s="21">
        <v>6.8571428571428283E-2</v>
      </c>
      <c r="E46" s="53">
        <v>4</v>
      </c>
      <c r="F46" s="21">
        <f t="shared" si="3"/>
        <v>0.5</v>
      </c>
      <c r="G46" s="21">
        <f t="shared" si="4"/>
        <v>0</v>
      </c>
    </row>
    <row r="47" spans="1:7" x14ac:dyDescent="0.25">
      <c r="B47" s="42">
        <v>1.7</v>
      </c>
      <c r="C47" s="21">
        <f t="shared" si="2"/>
        <v>6.8571428571428283E-2</v>
      </c>
      <c r="D47" s="21">
        <v>8.1428571428571628E-2</v>
      </c>
      <c r="E47" s="53">
        <v>5</v>
      </c>
      <c r="F47" s="21">
        <f t="shared" si="3"/>
        <v>0.6428571428571429</v>
      </c>
      <c r="G47" s="21">
        <f t="shared" si="4"/>
        <v>0.3661063568005698</v>
      </c>
    </row>
    <row r="48" spans="1:7" x14ac:dyDescent="0.25">
      <c r="B48" s="42">
        <v>1.8</v>
      </c>
      <c r="C48" s="21">
        <f t="shared" si="2"/>
        <v>0.16857142857142837</v>
      </c>
      <c r="D48" s="21">
        <v>0.16857142857142837</v>
      </c>
      <c r="E48" s="53">
        <v>6</v>
      </c>
      <c r="F48" s="21">
        <f t="shared" si="3"/>
        <v>0.7857142857142857</v>
      </c>
      <c r="G48" s="21">
        <f t="shared" si="4"/>
        <v>0.79163860774337469</v>
      </c>
    </row>
    <row r="49" spans="1:7" x14ac:dyDescent="0.25">
      <c r="B49" s="42">
        <v>1.55</v>
      </c>
      <c r="C49" s="21">
        <f t="shared" si="2"/>
        <v>8.1428571428571628E-2</v>
      </c>
      <c r="D49" s="21">
        <v>0.18142857142857172</v>
      </c>
      <c r="E49" s="53">
        <v>7</v>
      </c>
      <c r="F49" s="21">
        <f t="shared" si="3"/>
        <v>0.9285714285714286</v>
      </c>
      <c r="G49" s="21">
        <f t="shared" si="4"/>
        <v>1.4652337926855228</v>
      </c>
    </row>
    <row r="51" spans="1:7" x14ac:dyDescent="0.25">
      <c r="A51" s="49" t="s">
        <v>56</v>
      </c>
      <c r="B51" s="49">
        <f>AVERAGE(B43:B49)</f>
        <v>1.6314285714285717</v>
      </c>
    </row>
    <row r="66" spans="1:1" x14ac:dyDescent="0.25">
      <c r="A66" t="s">
        <v>61</v>
      </c>
    </row>
    <row r="67" spans="1:1" x14ac:dyDescent="0.25">
      <c r="A67" t="s">
        <v>62</v>
      </c>
    </row>
    <row r="69" spans="1:1" x14ac:dyDescent="0.25">
      <c r="A69" t="s">
        <v>63</v>
      </c>
    </row>
  </sheetData>
  <sortState xmlns:xlrd2="http://schemas.microsoft.com/office/spreadsheetml/2017/richdata2" ref="D43:D49">
    <sortCondition ref="D43:D49"/>
  </sortState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topLeftCell="A12" zoomScale="150" zoomScaleNormal="150" workbookViewId="0">
      <selection activeCell="A28" sqref="A28:B29"/>
    </sheetView>
  </sheetViews>
  <sheetFormatPr baseColWidth="10" defaultRowHeight="15" x14ac:dyDescent="0.25"/>
  <cols>
    <col min="1" max="1" width="15.7109375" customWidth="1"/>
  </cols>
  <sheetData>
    <row r="1" spans="1:10" x14ac:dyDescent="0.25">
      <c r="A1" s="9" t="s">
        <v>20</v>
      </c>
      <c r="B1" s="9"/>
    </row>
    <row r="2" spans="1:10" x14ac:dyDescent="0.25">
      <c r="G2" s="58" t="s">
        <v>32</v>
      </c>
      <c r="H2" s="58"/>
      <c r="I2" s="58"/>
      <c r="J2" s="58"/>
    </row>
    <row r="3" spans="1:10" x14ac:dyDescent="0.25">
      <c r="G3" s="58" t="s">
        <v>33</v>
      </c>
      <c r="H3" s="58"/>
      <c r="I3" s="58"/>
      <c r="J3" s="58"/>
    </row>
    <row r="4" spans="1:10" x14ac:dyDescent="0.25">
      <c r="B4" s="26" t="s">
        <v>21</v>
      </c>
      <c r="C4" s="26" t="s">
        <v>22</v>
      </c>
      <c r="D4" s="26" t="s">
        <v>23</v>
      </c>
      <c r="G4" s="47"/>
      <c r="H4" s="47"/>
      <c r="I4" s="47"/>
      <c r="J4" s="47"/>
    </row>
    <row r="5" spans="1:10" x14ac:dyDescent="0.25">
      <c r="B5" s="17">
        <v>4.2</v>
      </c>
      <c r="C5" s="17">
        <v>3.9</v>
      </c>
      <c r="D5" s="17">
        <v>3.8</v>
      </c>
    </row>
    <row r="6" spans="1:10" x14ac:dyDescent="0.25">
      <c r="B6" s="17">
        <v>4.5</v>
      </c>
      <c r="C6" s="17">
        <v>3.8</v>
      </c>
      <c r="D6" s="17">
        <v>3.8</v>
      </c>
    </row>
    <row r="7" spans="1:10" x14ac:dyDescent="0.25">
      <c r="B7" s="17">
        <v>4.3</v>
      </c>
      <c r="C7" s="17">
        <v>4.0999999999999996</v>
      </c>
      <c r="D7" s="17">
        <v>4.2</v>
      </c>
    </row>
    <row r="8" spans="1:10" x14ac:dyDescent="0.25">
      <c r="B8" s="22">
        <v>4.5</v>
      </c>
      <c r="C8" s="22">
        <v>3.9</v>
      </c>
      <c r="D8" s="22">
        <v>3.5</v>
      </c>
      <c r="E8" t="s">
        <v>7</v>
      </c>
    </row>
    <row r="9" spans="1:10" x14ac:dyDescent="0.25">
      <c r="A9" s="59" t="s">
        <v>24</v>
      </c>
      <c r="B9" s="27">
        <f>SUM(B5:B8)</f>
        <v>17.5</v>
      </c>
      <c r="C9" s="27">
        <f t="shared" ref="C9:D9" si="0">SUM(C5:C8)</f>
        <v>15.7</v>
      </c>
      <c r="D9" s="27">
        <f t="shared" si="0"/>
        <v>15.3</v>
      </c>
      <c r="E9" s="28">
        <f>SUM(B9:D9)</f>
        <v>48.5</v>
      </c>
    </row>
    <row r="10" spans="1:10" x14ac:dyDescent="0.25">
      <c r="A10" s="59" t="s">
        <v>25</v>
      </c>
      <c r="B10" s="21">
        <f>SUMSQ(B5:B8)</f>
        <v>76.63</v>
      </c>
      <c r="C10" s="21">
        <f t="shared" ref="C10:D10" si="1">SUMSQ(C5:C8)</f>
        <v>61.669999999999995</v>
      </c>
      <c r="D10" s="21">
        <f t="shared" si="1"/>
        <v>58.769999999999996</v>
      </c>
      <c r="E10" s="28">
        <f t="shared" ref="E10:E15" si="2">SUM(B10:D10)</f>
        <v>197.07</v>
      </c>
    </row>
    <row r="11" spans="1:10" ht="24.75" x14ac:dyDescent="0.25">
      <c r="A11" s="60" t="s">
        <v>26</v>
      </c>
      <c r="B11" s="30">
        <f>B10-B9^2/4</f>
        <v>6.7499999999995453E-2</v>
      </c>
      <c r="C11" s="30">
        <f t="shared" ref="C11:D11" si="3">C10-C9^2/4</f>
        <v>4.7499999999999432E-2</v>
      </c>
      <c r="D11" s="30">
        <f t="shared" si="3"/>
        <v>0.24749999999998806</v>
      </c>
      <c r="E11" s="28">
        <f t="shared" si="2"/>
        <v>0.36249999999998295</v>
      </c>
    </row>
    <row r="12" spans="1:10" x14ac:dyDescent="0.25">
      <c r="A12" s="59" t="s">
        <v>27</v>
      </c>
      <c r="B12" s="52">
        <f>B11/3</f>
        <v>2.2499999999998483E-2</v>
      </c>
      <c r="C12" s="52">
        <f t="shared" ref="C12:D12" si="4">C11/3</f>
        <v>1.5833333333333144E-2</v>
      </c>
      <c r="D12" s="52">
        <f t="shared" si="4"/>
        <v>8.2499999999996021E-2</v>
      </c>
      <c r="E12" s="61"/>
    </row>
    <row r="13" spans="1:10" x14ac:dyDescent="0.25">
      <c r="A13" s="23" t="s">
        <v>28</v>
      </c>
      <c r="B13" s="21">
        <f>LN(B12)</f>
        <v>-3.7942399697718301</v>
      </c>
      <c r="C13" s="21">
        <f t="shared" ref="C13:D13" si="5">LN(C12)</f>
        <v>-4.145637856609663</v>
      </c>
      <c r="D13" s="21">
        <f t="shared" si="5"/>
        <v>-2.4949569856415499</v>
      </c>
      <c r="E13" s="61"/>
    </row>
    <row r="14" spans="1:10" x14ac:dyDescent="0.25">
      <c r="A14" s="24" t="s">
        <v>29</v>
      </c>
      <c r="B14" s="29">
        <f>3*B13</f>
        <v>-11.38271990931549</v>
      </c>
      <c r="C14" s="29">
        <f t="shared" ref="C14:D14" si="6">3*C13</f>
        <v>-12.436913569828988</v>
      </c>
      <c r="D14" s="29">
        <f t="shared" si="6"/>
        <v>-7.4848709569246497</v>
      </c>
      <c r="E14" s="28">
        <f t="shared" si="2"/>
        <v>-31.304504436069127</v>
      </c>
    </row>
    <row r="15" spans="1:10" x14ac:dyDescent="0.25">
      <c r="A15" s="23" t="s">
        <v>30</v>
      </c>
      <c r="B15" s="21">
        <v>0.33333333333333331</v>
      </c>
      <c r="C15" s="21">
        <v>0.33333333333333331</v>
      </c>
      <c r="D15" s="21">
        <v>0.33333333333333331</v>
      </c>
      <c r="E15" s="28">
        <f t="shared" si="2"/>
        <v>1</v>
      </c>
    </row>
    <row r="18" spans="1:5" x14ac:dyDescent="0.25">
      <c r="C18" s="62">
        <f>E11/9</f>
        <v>4.0277777777775886E-2</v>
      </c>
    </row>
    <row r="20" spans="1:5" x14ac:dyDescent="0.25">
      <c r="E20" t="s">
        <v>69</v>
      </c>
    </row>
    <row r="22" spans="1:5" x14ac:dyDescent="0.25">
      <c r="E22" s="25">
        <f>(9*LN(C18)-E14)/(1+1/6*(E15-1/9))</f>
        <v>2.0876278045843097</v>
      </c>
    </row>
    <row r="28" spans="1:5" x14ac:dyDescent="0.25">
      <c r="A28" s="16" t="s">
        <v>31</v>
      </c>
      <c r="B28" t="s">
        <v>39</v>
      </c>
    </row>
    <row r="29" spans="1:5" x14ac:dyDescent="0.25">
      <c r="A29" t="s">
        <v>38</v>
      </c>
      <c r="B29" s="16">
        <f>_xlfn.CHISQ.INV.RT(0.05,2)</f>
        <v>5.9914645471079817</v>
      </c>
    </row>
    <row r="31" spans="1:5" x14ac:dyDescent="0.25">
      <c r="A31" s="9" t="s">
        <v>34</v>
      </c>
      <c r="B31" t="s">
        <v>70</v>
      </c>
    </row>
    <row r="32" spans="1:5" x14ac:dyDescent="0.25">
      <c r="A32" t="s">
        <v>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topLeftCell="A4" zoomScale="170" zoomScaleNormal="170" workbookViewId="0">
      <selection activeCell="E19" sqref="E19"/>
    </sheetView>
  </sheetViews>
  <sheetFormatPr baseColWidth="10" defaultRowHeight="15" x14ac:dyDescent="0.25"/>
  <cols>
    <col min="1" max="1" width="16.42578125" customWidth="1"/>
    <col min="2" max="2" width="12.28515625" bestFit="1" customWidth="1"/>
    <col min="3" max="5" width="11.57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1" x14ac:dyDescent="0.25">
      <c r="A2" s="4" t="s">
        <v>1</v>
      </c>
      <c r="J2" s="5"/>
    </row>
    <row r="3" spans="1:11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1" ht="15.75" thickBot="1" x14ac:dyDescent="0.3"/>
    <row r="5" spans="1:11" ht="18.75" x14ac:dyDescent="0.3">
      <c r="B5" s="11" t="s">
        <v>3</v>
      </c>
      <c r="C5" s="12" t="s">
        <v>4</v>
      </c>
      <c r="D5" s="12" t="s">
        <v>5</v>
      </c>
      <c r="E5" s="13" t="s">
        <v>6</v>
      </c>
      <c r="F5" s="44" t="s">
        <v>40</v>
      </c>
      <c r="G5" s="45"/>
      <c r="H5" s="45"/>
      <c r="I5" s="45"/>
      <c r="J5" s="45"/>
      <c r="K5" s="45"/>
    </row>
    <row r="6" spans="1:11" ht="18.75" x14ac:dyDescent="0.3">
      <c r="B6" s="14">
        <v>6</v>
      </c>
      <c r="C6" s="10">
        <v>7</v>
      </c>
      <c r="D6" s="10">
        <v>11</v>
      </c>
      <c r="E6" s="15">
        <v>10</v>
      </c>
      <c r="F6" s="44" t="s">
        <v>53</v>
      </c>
      <c r="G6" s="45"/>
      <c r="H6" s="45"/>
      <c r="I6" s="43"/>
      <c r="J6" s="43"/>
      <c r="K6" s="43"/>
    </row>
    <row r="7" spans="1:11" ht="18.75" x14ac:dyDescent="0.3">
      <c r="B7" s="14">
        <v>8</v>
      </c>
      <c r="C7" s="10">
        <v>9</v>
      </c>
      <c r="D7" s="10">
        <v>16</v>
      </c>
      <c r="E7" s="15">
        <v>12</v>
      </c>
      <c r="F7" s="44" t="s">
        <v>41</v>
      </c>
      <c r="G7" s="45"/>
      <c r="H7" s="45"/>
      <c r="I7" s="45"/>
      <c r="J7" s="45"/>
      <c r="K7" s="45"/>
    </row>
    <row r="8" spans="1:11" ht="18.75" x14ac:dyDescent="0.3">
      <c r="B8" s="10">
        <v>7</v>
      </c>
      <c r="C8" s="10">
        <v>10</v>
      </c>
      <c r="D8" s="10">
        <v>11</v>
      </c>
      <c r="E8" s="10">
        <v>11</v>
      </c>
      <c r="F8" s="46" t="s">
        <v>42</v>
      </c>
      <c r="G8" s="45"/>
      <c r="H8" s="45"/>
      <c r="I8" s="43"/>
      <c r="J8" s="43"/>
      <c r="K8" s="43"/>
    </row>
    <row r="9" spans="1:11" ht="18.75" x14ac:dyDescent="0.3">
      <c r="B9" s="63">
        <v>8</v>
      </c>
      <c r="C9" s="63">
        <v>8</v>
      </c>
      <c r="D9" s="63">
        <v>13</v>
      </c>
      <c r="E9" s="63">
        <v>9</v>
      </c>
      <c r="F9" s="31" t="s">
        <v>7</v>
      </c>
      <c r="H9" s="32" t="s">
        <v>78</v>
      </c>
      <c r="I9" s="32"/>
      <c r="J9" s="32"/>
    </row>
    <row r="10" spans="1:11" x14ac:dyDescent="0.25">
      <c r="A10" s="42" t="s">
        <v>72</v>
      </c>
      <c r="B10" s="42">
        <f>SUM(B6:B9)</f>
        <v>29</v>
      </c>
      <c r="C10" s="42">
        <f t="shared" ref="C10:E10" si="0">SUM(C6:C9)</f>
        <v>34</v>
      </c>
      <c r="D10" s="42">
        <f t="shared" si="0"/>
        <v>51</v>
      </c>
      <c r="E10" s="42">
        <f t="shared" si="0"/>
        <v>42</v>
      </c>
      <c r="F10" s="65">
        <f>SUM(B10:E10)</f>
        <v>156</v>
      </c>
    </row>
    <row r="11" spans="1:11" x14ac:dyDescent="0.25">
      <c r="A11" s="42" t="s">
        <v>73</v>
      </c>
      <c r="B11" s="42">
        <f>SUMSQ(B6:B9)</f>
        <v>213</v>
      </c>
      <c r="C11" s="42">
        <f t="shared" ref="C11:E11" si="1">SUMSQ(C6:C9)</f>
        <v>294</v>
      </c>
      <c r="D11" s="42">
        <f t="shared" si="1"/>
        <v>667</v>
      </c>
      <c r="E11" s="42">
        <f t="shared" si="1"/>
        <v>446</v>
      </c>
      <c r="F11" s="65">
        <f t="shared" ref="F11:F16" si="2">SUM(B11:E11)</f>
        <v>1620</v>
      </c>
      <c r="H11" s="58" t="s">
        <v>32</v>
      </c>
      <c r="I11" s="58"/>
      <c r="J11" s="58"/>
      <c r="K11" s="58"/>
    </row>
    <row r="12" spans="1:11" x14ac:dyDescent="0.25">
      <c r="A12" s="64" t="s">
        <v>74</v>
      </c>
      <c r="B12" s="42">
        <f>B11-B10^2/4</f>
        <v>2.75</v>
      </c>
      <c r="C12" s="42">
        <f t="shared" ref="C12:E12" si="3">C11-C10^2/4</f>
        <v>5</v>
      </c>
      <c r="D12" s="42">
        <f t="shared" si="3"/>
        <v>16.75</v>
      </c>
      <c r="E12" s="42">
        <f t="shared" si="3"/>
        <v>5</v>
      </c>
      <c r="F12" s="65">
        <f t="shared" si="2"/>
        <v>29.5</v>
      </c>
      <c r="H12" s="58" t="s">
        <v>33</v>
      </c>
      <c r="I12" s="58"/>
      <c r="J12" s="58"/>
      <c r="K12" s="58"/>
    </row>
    <row r="13" spans="1:11" x14ac:dyDescent="0.25">
      <c r="A13" s="42" t="s">
        <v>75</v>
      </c>
      <c r="B13" s="56">
        <f>B12/3</f>
        <v>0.91666666666666663</v>
      </c>
      <c r="C13" s="56">
        <f t="shared" ref="C13:E13" si="4">C12/3</f>
        <v>1.6666666666666667</v>
      </c>
      <c r="D13" s="56">
        <f t="shared" si="4"/>
        <v>5.583333333333333</v>
      </c>
      <c r="E13" s="56">
        <f t="shared" si="4"/>
        <v>1.6666666666666667</v>
      </c>
      <c r="F13" s="66">
        <f t="shared" si="2"/>
        <v>9.8333333333333321</v>
      </c>
    </row>
    <row r="14" spans="1:11" x14ac:dyDescent="0.25">
      <c r="A14" s="23" t="s">
        <v>28</v>
      </c>
      <c r="B14" s="55">
        <f>LN(B13)</f>
        <v>-8.701137698962981E-2</v>
      </c>
      <c r="C14" s="55">
        <f t="shared" ref="C14:E14" si="5">LN(C13)</f>
        <v>0.51082562376599072</v>
      </c>
      <c r="D14" s="55">
        <f t="shared" si="5"/>
        <v>1.7197859696029656</v>
      </c>
      <c r="E14" s="55">
        <f t="shared" si="5"/>
        <v>0.51082562376599072</v>
      </c>
      <c r="F14" s="66">
        <f t="shared" si="2"/>
        <v>2.6544258401453176</v>
      </c>
    </row>
    <row r="15" spans="1:11" x14ac:dyDescent="0.25">
      <c r="A15" s="23" t="s">
        <v>29</v>
      </c>
      <c r="B15" s="55">
        <f>3*B14</f>
        <v>-0.26103413096888944</v>
      </c>
      <c r="C15" s="55">
        <f t="shared" ref="C15:E15" si="6">3*C14</f>
        <v>1.5324768712979722</v>
      </c>
      <c r="D15" s="55">
        <f t="shared" si="6"/>
        <v>5.1593579088088966</v>
      </c>
      <c r="E15" s="55">
        <f t="shared" si="6"/>
        <v>1.5324768712979722</v>
      </c>
      <c r="F15" s="66">
        <f t="shared" si="2"/>
        <v>7.9632775204359518</v>
      </c>
    </row>
    <row r="16" spans="1:11" x14ac:dyDescent="0.25">
      <c r="A16" s="23" t="s">
        <v>30</v>
      </c>
      <c r="B16" s="55">
        <f>1/3</f>
        <v>0.33333333333333331</v>
      </c>
      <c r="C16" s="55">
        <f t="shared" ref="C16:E16" si="7">1/3</f>
        <v>0.33333333333333331</v>
      </c>
      <c r="D16" s="55">
        <f t="shared" si="7"/>
        <v>0.33333333333333331</v>
      </c>
      <c r="E16" s="55">
        <f t="shared" si="7"/>
        <v>0.33333333333333331</v>
      </c>
      <c r="F16" s="66">
        <f t="shared" si="2"/>
        <v>1.3333333333333333</v>
      </c>
    </row>
    <row r="19" spans="1:5" x14ac:dyDescent="0.25">
      <c r="C19" s="67">
        <f>F12/12</f>
        <v>2.4583333333333335</v>
      </c>
    </row>
    <row r="23" spans="1:5" x14ac:dyDescent="0.25">
      <c r="E23" t="s">
        <v>76</v>
      </c>
    </row>
    <row r="25" spans="1:5" x14ac:dyDescent="0.25">
      <c r="E25">
        <f>(12*LN(C19)-F15)/(1+1/9*(F16-1/12))</f>
        <v>2.4853397639332688</v>
      </c>
    </row>
    <row r="31" spans="1:5" x14ac:dyDescent="0.25">
      <c r="A31" s="16" t="s">
        <v>31</v>
      </c>
      <c r="B31" t="s">
        <v>39</v>
      </c>
    </row>
    <row r="32" spans="1:5" x14ac:dyDescent="0.25">
      <c r="A32" t="s">
        <v>77</v>
      </c>
      <c r="B32" s="16">
        <f>_xlfn.CHISQ.INV.RT(0.05,3)</f>
        <v>7.8147279032511792</v>
      </c>
    </row>
    <row r="34" spans="1:3" x14ac:dyDescent="0.25">
      <c r="A34" t="s">
        <v>79</v>
      </c>
    </row>
    <row r="35" spans="1:3" x14ac:dyDescent="0.25">
      <c r="A35" t="s">
        <v>80</v>
      </c>
      <c r="C35" t="s">
        <v>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130" zoomScaleNormal="130" workbookViewId="0">
      <selection activeCell="H7" sqref="H7:M20"/>
    </sheetView>
  </sheetViews>
  <sheetFormatPr baseColWidth="10" defaultRowHeight="15" x14ac:dyDescent="0.25"/>
  <cols>
    <col min="4" max="5" width="14.85546875" customWidth="1"/>
  </cols>
  <sheetData>
    <row r="1" spans="1:17" x14ac:dyDescent="0.25">
      <c r="A1" s="26"/>
      <c r="B1" s="35"/>
      <c r="C1" s="36"/>
      <c r="D1" s="36"/>
      <c r="E1" s="36"/>
      <c r="F1" s="37" t="s">
        <v>43</v>
      </c>
      <c r="G1" s="16"/>
    </row>
    <row r="2" spans="1:17" x14ac:dyDescent="0.25">
      <c r="A2" s="26" t="s">
        <v>3</v>
      </c>
      <c r="B2" s="17">
        <v>6</v>
      </c>
      <c r="C2" s="17">
        <v>8</v>
      </c>
      <c r="D2" s="17">
        <v>7</v>
      </c>
      <c r="E2" s="17">
        <v>8</v>
      </c>
      <c r="F2" s="68">
        <f>AVERAGE(B2:E2)</f>
        <v>7.25</v>
      </c>
      <c r="G2" s="18"/>
      <c r="H2" s="47" t="s">
        <v>49</v>
      </c>
      <c r="I2" s="47"/>
      <c r="J2" s="47"/>
      <c r="K2" s="47"/>
      <c r="L2" s="47"/>
    </row>
    <row r="3" spans="1:17" x14ac:dyDescent="0.25">
      <c r="A3" s="26" t="s">
        <v>4</v>
      </c>
      <c r="B3" s="17">
        <v>7</v>
      </c>
      <c r="C3" s="17">
        <v>9</v>
      </c>
      <c r="D3" s="17">
        <v>10</v>
      </c>
      <c r="E3" s="17">
        <v>8</v>
      </c>
      <c r="F3" s="68">
        <f t="shared" ref="F3:F5" si="0">AVERAGE(B3:E3)</f>
        <v>8.5</v>
      </c>
      <c r="G3" s="18"/>
      <c r="H3" s="47" t="s">
        <v>50</v>
      </c>
      <c r="I3" s="47"/>
      <c r="J3" s="47"/>
      <c r="K3" s="47"/>
      <c r="L3" s="47"/>
    </row>
    <row r="4" spans="1:17" x14ac:dyDescent="0.25">
      <c r="A4" s="26" t="s">
        <v>5</v>
      </c>
      <c r="B4" s="17">
        <v>11</v>
      </c>
      <c r="C4" s="17">
        <v>16</v>
      </c>
      <c r="D4" s="17">
        <v>11</v>
      </c>
      <c r="E4" s="17">
        <v>13</v>
      </c>
      <c r="F4" s="68">
        <f t="shared" si="0"/>
        <v>12.75</v>
      </c>
      <c r="G4" s="18"/>
    </row>
    <row r="5" spans="1:17" x14ac:dyDescent="0.25">
      <c r="A5" s="26" t="s">
        <v>6</v>
      </c>
      <c r="B5" s="17">
        <v>10</v>
      </c>
      <c r="C5" s="17">
        <v>12</v>
      </c>
      <c r="D5" s="17">
        <v>11</v>
      </c>
      <c r="E5" s="17">
        <v>9</v>
      </c>
      <c r="F5" s="68">
        <f t="shared" si="0"/>
        <v>10.5</v>
      </c>
      <c r="G5" s="18"/>
    </row>
    <row r="6" spans="1:17" x14ac:dyDescent="0.25">
      <c r="C6" t="s">
        <v>46</v>
      </c>
    </row>
    <row r="7" spans="1:17" x14ac:dyDescent="0.25">
      <c r="H7" t="s">
        <v>48</v>
      </c>
    </row>
    <row r="8" spans="1:17" x14ac:dyDescent="0.25">
      <c r="A8" s="26"/>
      <c r="B8" s="40" t="s">
        <v>44</v>
      </c>
      <c r="C8" s="40" t="s">
        <v>45</v>
      </c>
      <c r="D8" s="40"/>
      <c r="E8" s="31"/>
      <c r="F8" s="1"/>
    </row>
    <row r="9" spans="1:17" x14ac:dyDescent="0.25">
      <c r="A9" s="39" t="s">
        <v>3</v>
      </c>
      <c r="B9" s="17">
        <v>6</v>
      </c>
      <c r="C9" s="21">
        <v>7.25</v>
      </c>
      <c r="D9" s="41">
        <f>B9-C9</f>
        <v>-1.25</v>
      </c>
      <c r="E9" s="21">
        <f>D9^2</f>
        <v>1.5625</v>
      </c>
      <c r="F9" s="42"/>
    </row>
    <row r="10" spans="1:17" x14ac:dyDescent="0.25">
      <c r="A10" s="39" t="s">
        <v>3</v>
      </c>
      <c r="B10" s="17">
        <v>8</v>
      </c>
      <c r="C10" s="21">
        <v>7.25</v>
      </c>
      <c r="D10" s="41">
        <f t="shared" ref="D10:D24" si="1">B10-C10</f>
        <v>0.75</v>
      </c>
      <c r="E10" s="21">
        <f t="shared" ref="E10:E24" si="2">D10^2</f>
        <v>0.5625</v>
      </c>
      <c r="F10" s="41">
        <f>(D10-D9)^2</f>
        <v>4</v>
      </c>
    </row>
    <row r="11" spans="1:17" x14ac:dyDescent="0.25">
      <c r="A11" s="39" t="s">
        <v>3</v>
      </c>
      <c r="B11" s="17">
        <v>7</v>
      </c>
      <c r="C11" s="21">
        <v>7.25</v>
      </c>
      <c r="D11" s="41">
        <f t="shared" si="1"/>
        <v>-0.25</v>
      </c>
      <c r="E11" s="21">
        <f t="shared" si="2"/>
        <v>6.25E-2</v>
      </c>
      <c r="F11" s="41">
        <f t="shared" ref="F11:F24" si="3">(D11-D10)^2</f>
        <v>1</v>
      </c>
    </row>
    <row r="12" spans="1:17" ht="18.75" x14ac:dyDescent="0.3">
      <c r="A12" s="39" t="s">
        <v>3</v>
      </c>
      <c r="B12" s="17">
        <v>8</v>
      </c>
      <c r="C12" s="21">
        <v>7.25</v>
      </c>
      <c r="D12" s="41">
        <f t="shared" si="1"/>
        <v>0.75</v>
      </c>
      <c r="E12" s="21">
        <f t="shared" si="2"/>
        <v>0.5625</v>
      </c>
      <c r="F12" s="41">
        <f t="shared" si="3"/>
        <v>1</v>
      </c>
      <c r="N12" s="34"/>
      <c r="O12" s="34"/>
      <c r="P12" s="34"/>
      <c r="Q12" s="34"/>
    </row>
    <row r="13" spans="1:17" ht="18.75" x14ac:dyDescent="0.3">
      <c r="A13" s="39" t="s">
        <v>4</v>
      </c>
      <c r="B13" s="17">
        <v>7</v>
      </c>
      <c r="C13" s="17">
        <v>8.5</v>
      </c>
      <c r="D13" s="41">
        <f t="shared" si="1"/>
        <v>-1.5</v>
      </c>
      <c r="E13" s="21">
        <f t="shared" si="2"/>
        <v>2.25</v>
      </c>
      <c r="F13" s="41">
        <f t="shared" si="3"/>
        <v>5.0625</v>
      </c>
      <c r="N13" s="38"/>
      <c r="O13" s="38"/>
      <c r="P13" s="38"/>
      <c r="Q13" s="38"/>
    </row>
    <row r="14" spans="1:17" ht="18.75" x14ac:dyDescent="0.3">
      <c r="A14" s="39" t="s">
        <v>4</v>
      </c>
      <c r="B14" s="17">
        <v>9</v>
      </c>
      <c r="C14" s="17">
        <v>8.5</v>
      </c>
      <c r="D14" s="41">
        <f t="shared" si="1"/>
        <v>0.5</v>
      </c>
      <c r="E14" s="21">
        <f t="shared" si="2"/>
        <v>0.25</v>
      </c>
      <c r="F14" s="41">
        <f t="shared" si="3"/>
        <v>4</v>
      </c>
      <c r="H14" s="33" t="s">
        <v>47</v>
      </c>
      <c r="I14" s="33">
        <f>F25/E25</f>
        <v>2.8877118644067798</v>
      </c>
      <c r="N14" s="38"/>
      <c r="O14" s="38"/>
      <c r="P14" s="38"/>
      <c r="Q14" s="38"/>
    </row>
    <row r="15" spans="1:17" ht="18.75" x14ac:dyDescent="0.3">
      <c r="A15" s="39" t="s">
        <v>4</v>
      </c>
      <c r="B15" s="17">
        <v>10</v>
      </c>
      <c r="C15" s="17">
        <v>8.5</v>
      </c>
      <c r="D15" s="41">
        <f t="shared" si="1"/>
        <v>1.5</v>
      </c>
      <c r="E15" s="21">
        <f t="shared" si="2"/>
        <v>2.25</v>
      </c>
      <c r="F15" s="41">
        <f t="shared" si="3"/>
        <v>1</v>
      </c>
      <c r="N15" s="38"/>
      <c r="O15" s="38"/>
      <c r="P15" s="38"/>
      <c r="Q15" s="38"/>
    </row>
    <row r="16" spans="1:17" ht="18.75" x14ac:dyDescent="0.3">
      <c r="A16" s="39" t="s">
        <v>4</v>
      </c>
      <c r="B16" s="17">
        <v>8</v>
      </c>
      <c r="C16" s="17">
        <v>8.5</v>
      </c>
      <c r="D16" s="41">
        <f t="shared" si="1"/>
        <v>-0.5</v>
      </c>
      <c r="E16" s="21">
        <f t="shared" si="2"/>
        <v>0.25</v>
      </c>
      <c r="F16" s="41">
        <f t="shared" si="3"/>
        <v>4</v>
      </c>
      <c r="H16" s="18" t="s">
        <v>51</v>
      </c>
      <c r="I16" s="18">
        <v>0.74</v>
      </c>
      <c r="N16" s="38"/>
      <c r="O16" s="38"/>
      <c r="P16" s="38"/>
      <c r="Q16" s="38"/>
    </row>
    <row r="17" spans="1:9" x14ac:dyDescent="0.25">
      <c r="A17" s="39" t="s">
        <v>5</v>
      </c>
      <c r="B17" s="17">
        <v>11</v>
      </c>
      <c r="C17" s="17">
        <v>12.75</v>
      </c>
      <c r="D17" s="41">
        <f t="shared" si="1"/>
        <v>-1.75</v>
      </c>
      <c r="E17" s="21">
        <f t="shared" si="2"/>
        <v>3.0625</v>
      </c>
      <c r="F17" s="41">
        <f t="shared" si="3"/>
        <v>1.5625</v>
      </c>
      <c r="H17" s="18" t="s">
        <v>52</v>
      </c>
      <c r="I17" s="18">
        <v>1.93</v>
      </c>
    </row>
    <row r="18" spans="1:9" x14ac:dyDescent="0.25">
      <c r="A18" s="39" t="s">
        <v>5</v>
      </c>
      <c r="B18" s="17">
        <v>16</v>
      </c>
      <c r="C18" s="17">
        <v>12.75</v>
      </c>
      <c r="D18" s="41">
        <f t="shared" si="1"/>
        <v>3.25</v>
      </c>
      <c r="E18" s="21">
        <f t="shared" si="2"/>
        <v>10.5625</v>
      </c>
      <c r="F18" s="41">
        <f t="shared" si="3"/>
        <v>25</v>
      </c>
    </row>
    <row r="19" spans="1:9" x14ac:dyDescent="0.25">
      <c r="A19" s="39" t="s">
        <v>5</v>
      </c>
      <c r="B19" s="17">
        <v>11</v>
      </c>
      <c r="C19" s="17">
        <v>12.75</v>
      </c>
      <c r="D19" s="41">
        <f t="shared" si="1"/>
        <v>-1.75</v>
      </c>
      <c r="E19" s="21">
        <f t="shared" si="2"/>
        <v>3.0625</v>
      </c>
      <c r="F19" s="41">
        <f t="shared" si="3"/>
        <v>25</v>
      </c>
    </row>
    <row r="20" spans="1:9" x14ac:dyDescent="0.25">
      <c r="A20" s="39" t="s">
        <v>5</v>
      </c>
      <c r="B20" s="17">
        <v>13</v>
      </c>
      <c r="C20" s="17">
        <v>12.75</v>
      </c>
      <c r="D20" s="41">
        <f t="shared" si="1"/>
        <v>0.25</v>
      </c>
      <c r="E20" s="21">
        <f t="shared" si="2"/>
        <v>6.25E-2</v>
      </c>
      <c r="F20" s="41">
        <f t="shared" si="3"/>
        <v>4</v>
      </c>
      <c r="H20" t="s">
        <v>82</v>
      </c>
    </row>
    <row r="21" spans="1:9" x14ac:dyDescent="0.25">
      <c r="A21" s="39" t="s">
        <v>6</v>
      </c>
      <c r="B21" s="17">
        <v>10</v>
      </c>
      <c r="C21" s="17">
        <v>10.5</v>
      </c>
      <c r="D21" s="41">
        <f t="shared" si="1"/>
        <v>-0.5</v>
      </c>
      <c r="E21" s="21">
        <f t="shared" si="2"/>
        <v>0.25</v>
      </c>
      <c r="F21" s="41">
        <f t="shared" si="3"/>
        <v>0.5625</v>
      </c>
    </row>
    <row r="22" spans="1:9" x14ac:dyDescent="0.25">
      <c r="A22" s="39" t="s">
        <v>6</v>
      </c>
      <c r="B22" s="17">
        <v>12</v>
      </c>
      <c r="C22" s="17">
        <v>10.5</v>
      </c>
      <c r="D22" s="41">
        <f t="shared" si="1"/>
        <v>1.5</v>
      </c>
      <c r="E22" s="21">
        <f t="shared" si="2"/>
        <v>2.25</v>
      </c>
      <c r="F22" s="41">
        <f t="shared" si="3"/>
        <v>4</v>
      </c>
    </row>
    <row r="23" spans="1:9" x14ac:dyDescent="0.25">
      <c r="A23" s="39" t="s">
        <v>6</v>
      </c>
      <c r="B23" s="17">
        <v>11</v>
      </c>
      <c r="C23" s="17">
        <v>10.5</v>
      </c>
      <c r="D23" s="41">
        <f t="shared" si="1"/>
        <v>0.5</v>
      </c>
      <c r="E23" s="21">
        <f t="shared" si="2"/>
        <v>0.25</v>
      </c>
      <c r="F23" s="41">
        <f t="shared" si="3"/>
        <v>1</v>
      </c>
    </row>
    <row r="24" spans="1:9" x14ac:dyDescent="0.25">
      <c r="A24" s="39" t="s">
        <v>6</v>
      </c>
      <c r="B24" s="17">
        <v>9</v>
      </c>
      <c r="C24" s="17">
        <v>10.5</v>
      </c>
      <c r="D24" s="41">
        <f t="shared" si="1"/>
        <v>-1.5</v>
      </c>
      <c r="E24" s="21">
        <f t="shared" si="2"/>
        <v>2.25</v>
      </c>
      <c r="F24" s="41">
        <f t="shared" si="3"/>
        <v>4</v>
      </c>
    </row>
    <row r="25" spans="1:9" x14ac:dyDescent="0.25">
      <c r="B25" s="42"/>
      <c r="C25" s="42"/>
      <c r="D25" s="69" t="s">
        <v>81</v>
      </c>
      <c r="E25" s="70">
        <f>SUM(E9:E24)</f>
        <v>29.5</v>
      </c>
      <c r="F25" s="70">
        <f>SUM(F9:F24)</f>
        <v>85.1875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160" zoomScaleNormal="160" workbookViewId="0">
      <selection activeCell="H17" sqref="H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7946-05A7-46AE-9EAD-B39E806CA959}">
  <dimension ref="A1:J156"/>
  <sheetViews>
    <sheetView tabSelected="1" topLeftCell="C1" zoomScale="230" zoomScaleNormal="230" workbookViewId="0">
      <selection activeCell="H154" sqref="H154"/>
    </sheetView>
  </sheetViews>
  <sheetFormatPr baseColWidth="10" defaultRowHeight="15" x14ac:dyDescent="0.25"/>
  <cols>
    <col min="1" max="1" width="14" customWidth="1"/>
    <col min="2" max="2" width="13.85546875" customWidth="1"/>
    <col min="3" max="4" width="13" bestFit="1" customWidth="1"/>
  </cols>
  <sheetData>
    <row r="1" spans="1:5" x14ac:dyDescent="0.25">
      <c r="B1" s="80" t="s">
        <v>83</v>
      </c>
      <c r="C1" s="80"/>
      <c r="D1" s="80"/>
    </row>
    <row r="2" spans="1:5" x14ac:dyDescent="0.25">
      <c r="B2" s="78">
        <v>1</v>
      </c>
      <c r="C2" s="78">
        <v>2</v>
      </c>
      <c r="D2" s="78">
        <v>3</v>
      </c>
    </row>
    <row r="3" spans="1:5" x14ac:dyDescent="0.25">
      <c r="B3" s="17">
        <v>72</v>
      </c>
      <c r="C3" s="17">
        <v>55</v>
      </c>
      <c r="D3" s="17">
        <v>64</v>
      </c>
    </row>
    <row r="4" spans="1:5" x14ac:dyDescent="0.25">
      <c r="B4" s="17">
        <v>65</v>
      </c>
      <c r="C4" s="17">
        <v>59</v>
      </c>
      <c r="D4" s="17">
        <v>74</v>
      </c>
    </row>
    <row r="5" spans="1:5" x14ac:dyDescent="0.25">
      <c r="B5" s="17">
        <v>67</v>
      </c>
      <c r="C5" s="17">
        <v>68</v>
      </c>
      <c r="D5" s="17">
        <v>61</v>
      </c>
    </row>
    <row r="6" spans="1:5" x14ac:dyDescent="0.25">
      <c r="B6" s="17">
        <v>75</v>
      </c>
      <c r="C6" s="17">
        <v>70</v>
      </c>
      <c r="D6" s="17">
        <v>58</v>
      </c>
    </row>
    <row r="7" spans="1:5" x14ac:dyDescent="0.25">
      <c r="B7" s="17">
        <v>62</v>
      </c>
      <c r="C7" s="17">
        <v>53</v>
      </c>
      <c r="D7" s="17">
        <v>51</v>
      </c>
    </row>
    <row r="8" spans="1:5" x14ac:dyDescent="0.25">
      <c r="B8" s="22">
        <v>73</v>
      </c>
      <c r="C8" s="22">
        <v>50</v>
      </c>
      <c r="D8" s="22">
        <v>69</v>
      </c>
      <c r="E8" s="79" t="s">
        <v>7</v>
      </c>
    </row>
    <row r="9" spans="1:5" x14ac:dyDescent="0.25">
      <c r="A9" s="72" t="s">
        <v>72</v>
      </c>
      <c r="B9" s="20">
        <f>SUM(B3:B8)</f>
        <v>414</v>
      </c>
      <c r="C9" s="20">
        <f t="shared" ref="C9:D9" si="0">SUM(C3:C8)</f>
        <v>355</v>
      </c>
      <c r="D9" s="20">
        <f t="shared" si="0"/>
        <v>377</v>
      </c>
      <c r="E9" s="78">
        <f>SUM(B9:D9)</f>
        <v>1146</v>
      </c>
    </row>
    <row r="10" spans="1:5" x14ac:dyDescent="0.25">
      <c r="A10" s="42" t="s">
        <v>101</v>
      </c>
      <c r="B10" s="17">
        <f>B9^2</f>
        <v>171396</v>
      </c>
      <c r="C10" s="17">
        <f t="shared" ref="C10:D10" si="1">C9^2</f>
        <v>126025</v>
      </c>
      <c r="D10" s="17">
        <f t="shared" si="1"/>
        <v>142129</v>
      </c>
      <c r="E10" s="78">
        <f t="shared" ref="E10:E11" si="2">SUM(B10:D10)</f>
        <v>439550</v>
      </c>
    </row>
    <row r="11" spans="1:5" x14ac:dyDescent="0.25">
      <c r="A11" s="42" t="s">
        <v>73</v>
      </c>
      <c r="B11" s="17">
        <f>SUMSQ(B3:B8)</f>
        <v>28696</v>
      </c>
      <c r="C11" s="17">
        <f t="shared" ref="C11:D11" si="3">SUMSQ(C3:C8)</f>
        <v>21339</v>
      </c>
      <c r="D11" s="17">
        <f t="shared" si="3"/>
        <v>24019</v>
      </c>
      <c r="E11" s="78">
        <f t="shared" si="2"/>
        <v>74054</v>
      </c>
    </row>
    <row r="12" spans="1:5" x14ac:dyDescent="0.25">
      <c r="A12" s="81" t="s">
        <v>102</v>
      </c>
      <c r="B12" s="82">
        <f>AVERAGE(B3:B8)</f>
        <v>69</v>
      </c>
      <c r="C12" s="82">
        <f t="shared" ref="C12:D12" si="4">AVERAGE(C3:C8)</f>
        <v>59.166666666666664</v>
      </c>
      <c r="D12" s="82">
        <f t="shared" si="4"/>
        <v>62.833333333333336</v>
      </c>
    </row>
    <row r="13" spans="1:5" x14ac:dyDescent="0.25">
      <c r="A13" s="76"/>
      <c r="B13" s="75"/>
      <c r="C13" s="75"/>
      <c r="D13" s="75"/>
    </row>
    <row r="14" spans="1:5" x14ac:dyDescent="0.25">
      <c r="A14" s="71" t="s">
        <v>84</v>
      </c>
    </row>
    <row r="16" spans="1:5" x14ac:dyDescent="0.25">
      <c r="A16" s="32" t="s">
        <v>85</v>
      </c>
    </row>
    <row r="17" spans="1:6" x14ac:dyDescent="0.25">
      <c r="A17" t="s">
        <v>86</v>
      </c>
      <c r="C17" t="s">
        <v>87</v>
      </c>
    </row>
    <row r="18" spans="1:6" x14ac:dyDescent="0.25">
      <c r="A18" t="s">
        <v>88</v>
      </c>
      <c r="C18" t="s">
        <v>89</v>
      </c>
    </row>
    <row r="19" spans="1:6" x14ac:dyDescent="0.25">
      <c r="A19" s="32" t="s">
        <v>90</v>
      </c>
    </row>
    <row r="20" spans="1:6" x14ac:dyDescent="0.25">
      <c r="B20" t="s">
        <v>91</v>
      </c>
    </row>
    <row r="21" spans="1:6" x14ac:dyDescent="0.25">
      <c r="B21" t="s">
        <v>92</v>
      </c>
      <c r="C21" t="s">
        <v>93</v>
      </c>
    </row>
    <row r="22" spans="1:6" x14ac:dyDescent="0.25">
      <c r="B22" t="s">
        <v>94</v>
      </c>
      <c r="C22" t="s">
        <v>95</v>
      </c>
    </row>
    <row r="23" spans="1:6" x14ac:dyDescent="0.25">
      <c r="B23" t="s">
        <v>96</v>
      </c>
      <c r="C23" t="s">
        <v>97</v>
      </c>
    </row>
    <row r="24" spans="1:6" x14ac:dyDescent="0.25">
      <c r="B24" t="s">
        <v>98</v>
      </c>
      <c r="C24" t="s">
        <v>99</v>
      </c>
    </row>
    <row r="25" spans="1:6" x14ac:dyDescent="0.25">
      <c r="A25" s="71" t="s">
        <v>100</v>
      </c>
    </row>
    <row r="26" spans="1:6" x14ac:dyDescent="0.25">
      <c r="A26" t="s">
        <v>103</v>
      </c>
      <c r="B26">
        <f>E11-E9^2/18</f>
        <v>1092</v>
      </c>
    </row>
    <row r="27" spans="1:6" x14ac:dyDescent="0.25">
      <c r="A27" t="s">
        <v>105</v>
      </c>
      <c r="B27" s="74">
        <f>E10/6-E9^2/18</f>
        <v>296.33333333332848</v>
      </c>
    </row>
    <row r="28" spans="1:6" x14ac:dyDescent="0.25">
      <c r="A28" t="s">
        <v>104</v>
      </c>
      <c r="B28" s="74">
        <f>B26-B27</f>
        <v>795.66666666667152</v>
      </c>
    </row>
    <row r="30" spans="1:6" x14ac:dyDescent="0.25">
      <c r="A30" t="s">
        <v>106</v>
      </c>
    </row>
    <row r="31" spans="1:6" x14ac:dyDescent="0.25">
      <c r="A31" s="26" t="s">
        <v>107</v>
      </c>
      <c r="B31" s="26" t="s">
        <v>108</v>
      </c>
      <c r="C31" s="26" t="s">
        <v>109</v>
      </c>
      <c r="D31" s="26" t="s">
        <v>110</v>
      </c>
      <c r="E31" s="26" t="s">
        <v>111</v>
      </c>
      <c r="F31" s="26" t="s">
        <v>112</v>
      </c>
    </row>
    <row r="32" spans="1:6" x14ac:dyDescent="0.25">
      <c r="A32" s="42" t="s">
        <v>113</v>
      </c>
      <c r="B32" s="42">
        <v>296.33</v>
      </c>
      <c r="C32" s="17">
        <v>2</v>
      </c>
      <c r="D32" s="21">
        <f>B32/C32</f>
        <v>148.16499999999999</v>
      </c>
      <c r="E32" s="21">
        <f>D32/D33</f>
        <v>2.7932120100041473</v>
      </c>
      <c r="F32" s="21">
        <f>_xlfn.F.INV.RT(0.05,2,15)</f>
        <v>3.6823203436732408</v>
      </c>
    </row>
    <row r="33" spans="1:5" x14ac:dyDescent="0.25">
      <c r="A33" s="42" t="s">
        <v>114</v>
      </c>
      <c r="B33" s="42">
        <v>795.67</v>
      </c>
      <c r="C33" s="17">
        <v>15</v>
      </c>
      <c r="D33" s="21">
        <f>B33/C33</f>
        <v>53.044666666666664</v>
      </c>
    </row>
    <row r="34" spans="1:5" x14ac:dyDescent="0.25">
      <c r="A34" s="73" t="s">
        <v>81</v>
      </c>
      <c r="B34" s="78">
        <f>SUM(B32:B33)</f>
        <v>1092</v>
      </c>
      <c r="C34" s="77">
        <v>17</v>
      </c>
    </row>
    <row r="36" spans="1:5" x14ac:dyDescent="0.25">
      <c r="A36" t="s">
        <v>117</v>
      </c>
    </row>
    <row r="38" spans="1:5" x14ac:dyDescent="0.25">
      <c r="A38" t="s">
        <v>115</v>
      </c>
    </row>
    <row r="40" spans="1:5" x14ac:dyDescent="0.25">
      <c r="A40" s="71" t="s">
        <v>116</v>
      </c>
    </row>
    <row r="41" spans="1:5" x14ac:dyDescent="0.25">
      <c r="A41" t="s">
        <v>118</v>
      </c>
    </row>
    <row r="43" spans="1:5" x14ac:dyDescent="0.25">
      <c r="A43" s="71" t="s">
        <v>119</v>
      </c>
    </row>
    <row r="44" spans="1:5" x14ac:dyDescent="0.25">
      <c r="A44" s="71" t="s">
        <v>120</v>
      </c>
    </row>
    <row r="46" spans="1:5" x14ac:dyDescent="0.25">
      <c r="A46" s="32" t="s">
        <v>121</v>
      </c>
      <c r="B46" t="s">
        <v>123</v>
      </c>
      <c r="D46" s="83" t="s">
        <v>122</v>
      </c>
      <c r="E46" s="83">
        <f>_xlfn.T.INV(0.975,15)</f>
        <v>2.1314495455597742</v>
      </c>
    </row>
    <row r="47" spans="1:5" x14ac:dyDescent="0.25">
      <c r="A47" t="s">
        <v>121</v>
      </c>
      <c r="B47" s="74">
        <f>E46*SQRT(53.04/6)</f>
        <v>6.3372550951464781</v>
      </c>
    </row>
    <row r="48" spans="1:5" x14ac:dyDescent="0.25">
      <c r="B48" s="74"/>
    </row>
    <row r="49" spans="1:6" x14ac:dyDescent="0.25">
      <c r="B49" s="18" t="s">
        <v>127</v>
      </c>
      <c r="C49" s="18" t="s">
        <v>128</v>
      </c>
      <c r="D49" s="18" t="s">
        <v>129</v>
      </c>
    </row>
    <row r="50" spans="1:6" x14ac:dyDescent="0.25">
      <c r="A50" s="17" t="s">
        <v>126</v>
      </c>
      <c r="B50" s="21">
        <f>B51+$B$47</f>
        <v>75.337255095146475</v>
      </c>
      <c r="C50" s="21">
        <f t="shared" ref="C50:D50" si="5">C51+$B$47</f>
        <v>65.503921761813146</v>
      </c>
      <c r="D50" s="21">
        <f t="shared" si="5"/>
        <v>69.170588428479817</v>
      </c>
    </row>
    <row r="51" spans="1:6" x14ac:dyDescent="0.25">
      <c r="A51" s="17" t="s">
        <v>125</v>
      </c>
      <c r="B51" s="84">
        <v>69</v>
      </c>
      <c r="C51" s="84">
        <v>59.166666666666664</v>
      </c>
      <c r="D51" s="84">
        <v>62.833333333333336</v>
      </c>
    </row>
    <row r="52" spans="1:6" x14ac:dyDescent="0.25">
      <c r="A52" s="17" t="s">
        <v>124</v>
      </c>
      <c r="B52" s="21">
        <f>B51-$B$47</f>
        <v>62.662744904853525</v>
      </c>
      <c r="C52" s="21">
        <f t="shared" ref="C52:D52" si="6">C51-$B$47</f>
        <v>52.829411571520183</v>
      </c>
      <c r="D52" s="21">
        <f t="shared" si="6"/>
        <v>56.496078238186854</v>
      </c>
    </row>
    <row r="53" spans="1:6" x14ac:dyDescent="0.25">
      <c r="B53" s="73" t="s">
        <v>132</v>
      </c>
      <c r="C53" s="73" t="s">
        <v>130</v>
      </c>
      <c r="D53" s="73" t="s">
        <v>131</v>
      </c>
    </row>
    <row r="55" spans="1:6" x14ac:dyDescent="0.25">
      <c r="A55" s="71" t="s">
        <v>133</v>
      </c>
    </row>
    <row r="61" spans="1:6" x14ac:dyDescent="0.25">
      <c r="F61" t="s">
        <v>136</v>
      </c>
    </row>
    <row r="62" spans="1:6" x14ac:dyDescent="0.25">
      <c r="F62" t="s">
        <v>134</v>
      </c>
    </row>
    <row r="63" spans="1:6" x14ac:dyDescent="0.25">
      <c r="F63" t="s">
        <v>135</v>
      </c>
    </row>
    <row r="69" spans="1:7" x14ac:dyDescent="0.25">
      <c r="A69" s="85">
        <v>1</v>
      </c>
      <c r="B69" s="18">
        <v>72</v>
      </c>
      <c r="C69" s="18">
        <v>65</v>
      </c>
      <c r="D69" s="18">
        <v>67</v>
      </c>
      <c r="E69" s="18">
        <v>75</v>
      </c>
      <c r="F69" s="18">
        <v>62</v>
      </c>
      <c r="G69" s="18">
        <v>73</v>
      </c>
    </row>
    <row r="70" spans="1:7" x14ac:dyDescent="0.25">
      <c r="A70" s="85">
        <v>2</v>
      </c>
      <c r="B70" s="18">
        <v>55</v>
      </c>
      <c r="C70" s="18">
        <v>59</v>
      </c>
      <c r="D70" s="18">
        <v>68</v>
      </c>
      <c r="E70" s="18">
        <v>70</v>
      </c>
      <c r="F70" s="18">
        <v>53</v>
      </c>
      <c r="G70" s="18">
        <v>50</v>
      </c>
    </row>
    <row r="71" spans="1:7" x14ac:dyDescent="0.25">
      <c r="A71" s="85">
        <v>3</v>
      </c>
      <c r="B71" s="18">
        <v>64</v>
      </c>
      <c r="C71" s="18">
        <v>74</v>
      </c>
      <c r="D71" s="18">
        <v>61</v>
      </c>
      <c r="E71" s="18">
        <v>58</v>
      </c>
      <c r="F71" s="18">
        <v>51</v>
      </c>
      <c r="G71" s="18">
        <v>69</v>
      </c>
    </row>
    <row r="77" spans="1:7" x14ac:dyDescent="0.25">
      <c r="G77" t="s">
        <v>34</v>
      </c>
    </row>
    <row r="78" spans="1:7" x14ac:dyDescent="0.25">
      <c r="G78" t="s">
        <v>137</v>
      </c>
    </row>
    <row r="79" spans="1:7" x14ac:dyDescent="0.25">
      <c r="G79" t="s">
        <v>138</v>
      </c>
    </row>
    <row r="85" spans="1:6" x14ac:dyDescent="0.25">
      <c r="A85" s="71" t="s">
        <v>139</v>
      </c>
    </row>
    <row r="87" spans="1:6" x14ac:dyDescent="0.25">
      <c r="A87" s="9" t="s">
        <v>65</v>
      </c>
      <c r="B87" s="9"/>
    </row>
    <row r="88" spans="1:6" x14ac:dyDescent="0.25">
      <c r="A88" t="s">
        <v>140</v>
      </c>
    </row>
    <row r="89" spans="1:6" x14ac:dyDescent="0.25">
      <c r="A89" t="s">
        <v>141</v>
      </c>
    </row>
    <row r="90" spans="1:6" x14ac:dyDescent="0.25">
      <c r="E90" t="s">
        <v>144</v>
      </c>
    </row>
    <row r="91" spans="1:6" x14ac:dyDescent="0.25">
      <c r="A91" s="48" t="s">
        <v>55</v>
      </c>
      <c r="B91" s="48" t="s">
        <v>142</v>
      </c>
      <c r="C91" s="48" t="s">
        <v>14</v>
      </c>
      <c r="D91" s="57" t="s">
        <v>58</v>
      </c>
      <c r="E91" s="57" t="s">
        <v>143</v>
      </c>
      <c r="F91" s="57" t="s">
        <v>17</v>
      </c>
    </row>
    <row r="92" spans="1:6" x14ac:dyDescent="0.25">
      <c r="A92" s="17">
        <v>72</v>
      </c>
      <c r="B92" s="17">
        <f>ABS($B$99-A92)</f>
        <v>3</v>
      </c>
      <c r="C92" s="17">
        <v>2</v>
      </c>
      <c r="D92" s="17">
        <v>1</v>
      </c>
      <c r="E92" s="21">
        <f>(D92-0.5)/6</f>
        <v>8.3333333333333329E-2</v>
      </c>
      <c r="F92" s="21">
        <f>_xlfn.NORM.S.INV(E92)</f>
        <v>-1.3829941271006392</v>
      </c>
    </row>
    <row r="93" spans="1:6" x14ac:dyDescent="0.25">
      <c r="A93" s="17">
        <v>65</v>
      </c>
      <c r="B93" s="17">
        <f t="shared" ref="B93:B97" si="7">ABS($B$99-A93)</f>
        <v>4</v>
      </c>
      <c r="C93" s="17">
        <v>3</v>
      </c>
      <c r="D93" s="17">
        <v>2</v>
      </c>
      <c r="E93" s="21">
        <f t="shared" ref="E93:E97" si="8">(D93-0.5)/6</f>
        <v>0.25</v>
      </c>
      <c r="F93" s="21">
        <f t="shared" ref="F93:F97" si="9">_xlfn.NORM.S.INV(E93)</f>
        <v>-0.67448975019608193</v>
      </c>
    </row>
    <row r="94" spans="1:6" x14ac:dyDescent="0.25">
      <c r="A94" s="17">
        <v>67</v>
      </c>
      <c r="B94" s="17">
        <f t="shared" si="7"/>
        <v>2</v>
      </c>
      <c r="C94" s="17">
        <v>4</v>
      </c>
      <c r="D94" s="17">
        <v>3</v>
      </c>
      <c r="E94" s="21">
        <f t="shared" si="8"/>
        <v>0.41666666666666669</v>
      </c>
      <c r="F94" s="21">
        <f t="shared" si="9"/>
        <v>-0.21042839424792467</v>
      </c>
    </row>
    <row r="95" spans="1:6" x14ac:dyDescent="0.25">
      <c r="A95" s="17">
        <v>75</v>
      </c>
      <c r="B95" s="17">
        <f t="shared" si="7"/>
        <v>6</v>
      </c>
      <c r="C95" s="17">
        <v>4</v>
      </c>
      <c r="D95" s="17">
        <v>4</v>
      </c>
      <c r="E95" s="21">
        <f t="shared" si="8"/>
        <v>0.58333333333333337</v>
      </c>
      <c r="F95" s="21">
        <f t="shared" si="9"/>
        <v>0.21042839424792484</v>
      </c>
    </row>
    <row r="96" spans="1:6" x14ac:dyDescent="0.25">
      <c r="A96" s="17">
        <v>62</v>
      </c>
      <c r="B96" s="17">
        <f t="shared" si="7"/>
        <v>7</v>
      </c>
      <c r="C96" s="17">
        <v>6</v>
      </c>
      <c r="D96" s="17">
        <v>5</v>
      </c>
      <c r="E96" s="21">
        <f t="shared" si="8"/>
        <v>0.75</v>
      </c>
      <c r="F96" s="21">
        <f t="shared" si="9"/>
        <v>0.67448975019608193</v>
      </c>
    </row>
    <row r="97" spans="1:9" x14ac:dyDescent="0.25">
      <c r="A97" s="17">
        <v>73</v>
      </c>
      <c r="B97" s="17">
        <f t="shared" si="7"/>
        <v>4</v>
      </c>
      <c r="C97" s="17">
        <v>7</v>
      </c>
      <c r="D97" s="17">
        <v>6</v>
      </c>
      <c r="E97" s="21">
        <f t="shared" si="8"/>
        <v>0.91666666666666663</v>
      </c>
      <c r="F97" s="21">
        <f t="shared" si="9"/>
        <v>1.3829941271006372</v>
      </c>
    </row>
    <row r="99" spans="1:9" x14ac:dyDescent="0.25">
      <c r="A99" t="s">
        <v>56</v>
      </c>
      <c r="B99" s="18">
        <v>69</v>
      </c>
    </row>
    <row r="100" spans="1:9" x14ac:dyDescent="0.25">
      <c r="A100" t="s">
        <v>145</v>
      </c>
    </row>
    <row r="101" spans="1:9" x14ac:dyDescent="0.25">
      <c r="A101" t="s">
        <v>146</v>
      </c>
    </row>
    <row r="103" spans="1:9" x14ac:dyDescent="0.25">
      <c r="A103" s="32" t="s">
        <v>66</v>
      </c>
      <c r="B103" s="32"/>
    </row>
    <row r="104" spans="1:9" x14ac:dyDescent="0.25">
      <c r="B104" s="78">
        <v>1</v>
      </c>
      <c r="C104" s="78">
        <v>2</v>
      </c>
      <c r="D104" s="78">
        <v>3</v>
      </c>
      <c r="F104" s="58" t="s">
        <v>32</v>
      </c>
      <c r="G104" s="58"/>
      <c r="H104" s="58"/>
      <c r="I104" s="58"/>
    </row>
    <row r="105" spans="1:9" x14ac:dyDescent="0.25">
      <c r="B105" s="17">
        <v>72</v>
      </c>
      <c r="C105" s="17">
        <v>55</v>
      </c>
      <c r="D105" s="17">
        <v>64</v>
      </c>
      <c r="F105" s="58" t="s">
        <v>33</v>
      </c>
      <c r="G105" s="58"/>
      <c r="H105" s="58"/>
      <c r="I105" s="58"/>
    </row>
    <row r="106" spans="1:9" x14ac:dyDescent="0.25">
      <c r="B106" s="17">
        <v>65</v>
      </c>
      <c r="C106" s="17">
        <v>59</v>
      </c>
      <c r="D106" s="17">
        <v>74</v>
      </c>
    </row>
    <row r="107" spans="1:9" x14ac:dyDescent="0.25">
      <c r="B107" s="17">
        <v>67</v>
      </c>
      <c r="C107" s="17">
        <v>68</v>
      </c>
      <c r="D107" s="17">
        <v>61</v>
      </c>
    </row>
    <row r="108" spans="1:9" x14ac:dyDescent="0.25">
      <c r="B108" s="17">
        <v>75</v>
      </c>
      <c r="C108" s="17">
        <v>70</v>
      </c>
      <c r="D108" s="17">
        <v>58</v>
      </c>
    </row>
    <row r="109" spans="1:9" x14ac:dyDescent="0.25">
      <c r="B109" s="17">
        <v>62</v>
      </c>
      <c r="C109" s="17">
        <v>53</v>
      </c>
      <c r="D109" s="17">
        <v>51</v>
      </c>
    </row>
    <row r="110" spans="1:9" x14ac:dyDescent="0.25">
      <c r="B110" s="22">
        <v>73</v>
      </c>
      <c r="C110" s="22">
        <v>50</v>
      </c>
      <c r="D110" s="22">
        <v>69</v>
      </c>
      <c r="E110" t="s">
        <v>147</v>
      </c>
    </row>
    <row r="111" spans="1:9" x14ac:dyDescent="0.25">
      <c r="A111" s="86" t="s">
        <v>24</v>
      </c>
      <c r="B111" s="77">
        <f>SUM(B105:B110)</f>
        <v>414</v>
      </c>
      <c r="C111" s="77">
        <f t="shared" ref="C111:D111" si="10">SUM(C105:C110)</f>
        <v>355</v>
      </c>
      <c r="D111" s="77">
        <f t="shared" si="10"/>
        <v>377</v>
      </c>
      <c r="E111" s="91">
        <f>SUM(B111:D111)</f>
        <v>1146</v>
      </c>
    </row>
    <row r="112" spans="1:9" x14ac:dyDescent="0.25">
      <c r="A112" s="86" t="s">
        <v>25</v>
      </c>
      <c r="B112" s="17">
        <f>SUMSQ(B105:B110)</f>
        <v>28696</v>
      </c>
      <c r="C112" s="17">
        <f t="shared" ref="C112:D112" si="11">SUMSQ(C105:C110)</f>
        <v>21339</v>
      </c>
      <c r="D112" s="17">
        <f t="shared" si="11"/>
        <v>24019</v>
      </c>
      <c r="E112" s="91">
        <f t="shared" ref="E112:E117" si="12">SUM(B112:D112)</f>
        <v>74054</v>
      </c>
    </row>
    <row r="113" spans="1:5" x14ac:dyDescent="0.25">
      <c r="A113" s="87" t="s">
        <v>26</v>
      </c>
      <c r="B113" s="21">
        <f>B112-B111^2/6</f>
        <v>130</v>
      </c>
      <c r="C113" s="21">
        <f t="shared" ref="C113:D113" si="13">C112-C111^2/6</f>
        <v>334.83333333333212</v>
      </c>
      <c r="D113" s="21">
        <f t="shared" si="13"/>
        <v>330.83333333333212</v>
      </c>
      <c r="E113" s="91">
        <f t="shared" si="12"/>
        <v>795.66666666666424</v>
      </c>
    </row>
    <row r="114" spans="1:5" x14ac:dyDescent="0.25">
      <c r="A114" s="86" t="s">
        <v>27</v>
      </c>
      <c r="B114" s="21">
        <f>B113/5</f>
        <v>26</v>
      </c>
      <c r="C114" s="21">
        <f t="shared" ref="C114:D114" si="14">C113/5</f>
        <v>66.966666666666427</v>
      </c>
      <c r="D114" s="21">
        <f t="shared" si="14"/>
        <v>66.16666666666643</v>
      </c>
      <c r="E114" s="92">
        <f t="shared" si="12"/>
        <v>159.13333333333287</v>
      </c>
    </row>
    <row r="115" spans="1:5" x14ac:dyDescent="0.25">
      <c r="A115" s="88" t="s">
        <v>28</v>
      </c>
      <c r="B115" s="21">
        <f>LN(B114)</f>
        <v>3.2580965380214821</v>
      </c>
      <c r="C115" s="21">
        <f t="shared" ref="C115:D115" si="15">LN(C114)</f>
        <v>4.2041949831527754</v>
      </c>
      <c r="D115" s="21">
        <f t="shared" si="15"/>
        <v>4.1921768114591318</v>
      </c>
      <c r="E115" s="91">
        <f t="shared" si="12"/>
        <v>11.654468332633389</v>
      </c>
    </row>
    <row r="116" spans="1:5" x14ac:dyDescent="0.25">
      <c r="A116" s="89" t="s">
        <v>29</v>
      </c>
      <c r="B116" s="21">
        <f>5*B115</f>
        <v>16.29048269010741</v>
      </c>
      <c r="C116" s="21">
        <f t="shared" ref="C116:D116" si="16">5*C115</f>
        <v>21.020974915763876</v>
      </c>
      <c r="D116" s="21">
        <f t="shared" si="16"/>
        <v>20.960884057295658</v>
      </c>
      <c r="E116" s="92">
        <f t="shared" si="12"/>
        <v>58.272341663166941</v>
      </c>
    </row>
    <row r="117" spans="1:5" x14ac:dyDescent="0.25">
      <c r="A117" s="88" t="s">
        <v>30</v>
      </c>
      <c r="B117" s="21">
        <f>1/5</f>
        <v>0.2</v>
      </c>
      <c r="C117" s="21">
        <f t="shared" ref="C117:D117" si="17">1/5</f>
        <v>0.2</v>
      </c>
      <c r="D117" s="21">
        <f t="shared" si="17"/>
        <v>0.2</v>
      </c>
      <c r="E117" s="91">
        <f t="shared" si="12"/>
        <v>0.60000000000000009</v>
      </c>
    </row>
    <row r="119" spans="1:5" x14ac:dyDescent="0.25">
      <c r="C119" s="90">
        <f>E114/15</f>
        <v>10.608888888888858</v>
      </c>
    </row>
    <row r="122" spans="1:5" x14ac:dyDescent="0.25">
      <c r="D122" t="s">
        <v>69</v>
      </c>
    </row>
    <row r="123" spans="1:5" x14ac:dyDescent="0.25">
      <c r="D123" s="74">
        <f>((15*LN(C119)-E116)/(1+1/6*(E117-1/15)))</f>
        <v>-20.981900480648722</v>
      </c>
    </row>
    <row r="129" spans="1:10" x14ac:dyDescent="0.25">
      <c r="A129" s="16" t="s">
        <v>31</v>
      </c>
      <c r="B129" t="s">
        <v>39</v>
      </c>
    </row>
    <row r="130" spans="1:10" x14ac:dyDescent="0.25">
      <c r="A130" t="s">
        <v>38</v>
      </c>
      <c r="B130" s="16">
        <f>_xlfn.CHISQ.INV.RT(0.05,2)</f>
        <v>5.9914645471079817</v>
      </c>
    </row>
    <row r="131" spans="1:10" x14ac:dyDescent="0.25">
      <c r="A131" t="s">
        <v>148</v>
      </c>
    </row>
    <row r="132" spans="1:10" x14ac:dyDescent="0.25">
      <c r="A132" s="93" t="s">
        <v>149</v>
      </c>
      <c r="B132" s="93"/>
      <c r="C132" s="93"/>
      <c r="D132" s="93"/>
    </row>
    <row r="134" spans="1:10" x14ac:dyDescent="0.25">
      <c r="A134" s="9" t="s">
        <v>67</v>
      </c>
      <c r="B134" s="9"/>
    </row>
    <row r="135" spans="1:10" x14ac:dyDescent="0.25">
      <c r="G135" s="47" t="s">
        <v>49</v>
      </c>
      <c r="H135" s="47"/>
      <c r="I135" s="47"/>
      <c r="J135" s="47"/>
    </row>
    <row r="136" spans="1:10" x14ac:dyDescent="0.25">
      <c r="G136" s="47" t="s">
        <v>50</v>
      </c>
      <c r="H136" s="47"/>
      <c r="I136" s="47"/>
      <c r="J136" s="47"/>
    </row>
    <row r="137" spans="1:10" x14ac:dyDescent="0.25">
      <c r="A137" s="26"/>
      <c r="B137" s="26" t="s">
        <v>44</v>
      </c>
      <c r="C137" s="94" t="s">
        <v>45</v>
      </c>
      <c r="D137" s="26"/>
      <c r="E137" s="26"/>
      <c r="F137" s="42"/>
    </row>
    <row r="138" spans="1:10" x14ac:dyDescent="0.25">
      <c r="A138" s="17">
        <v>1</v>
      </c>
      <c r="B138" s="17">
        <v>72</v>
      </c>
      <c r="C138" s="39">
        <v>69</v>
      </c>
      <c r="D138" s="17">
        <f>B138-C138</f>
        <v>3</v>
      </c>
      <c r="E138" s="56">
        <f>D138^2</f>
        <v>9</v>
      </c>
      <c r="F138" s="42"/>
    </row>
    <row r="139" spans="1:10" x14ac:dyDescent="0.25">
      <c r="A139" s="17">
        <v>1</v>
      </c>
      <c r="B139" s="17">
        <v>65</v>
      </c>
      <c r="C139" s="39">
        <v>69</v>
      </c>
      <c r="D139" s="17">
        <f t="shared" ref="D139:D155" si="18">B139-C139</f>
        <v>-4</v>
      </c>
      <c r="E139" s="56">
        <f t="shared" ref="E139:E155" si="19">D139^2</f>
        <v>16</v>
      </c>
      <c r="F139" s="42">
        <f>(D139-D138)^2</f>
        <v>49</v>
      </c>
    </row>
    <row r="140" spans="1:10" x14ac:dyDescent="0.25">
      <c r="A140" s="17">
        <v>1</v>
      </c>
      <c r="B140" s="17">
        <v>67</v>
      </c>
      <c r="C140" s="39">
        <v>69</v>
      </c>
      <c r="D140" s="17">
        <f t="shared" si="18"/>
        <v>-2</v>
      </c>
      <c r="E140" s="56">
        <f t="shared" si="19"/>
        <v>4</v>
      </c>
      <c r="F140" s="42">
        <f t="shared" ref="F140:F155" si="20">(D140-D139)^2</f>
        <v>4</v>
      </c>
      <c r="G140" t="s">
        <v>48</v>
      </c>
    </row>
    <row r="141" spans="1:10" x14ac:dyDescent="0.25">
      <c r="A141" s="17">
        <v>1</v>
      </c>
      <c r="B141" s="17">
        <v>75</v>
      </c>
      <c r="C141" s="39">
        <v>69</v>
      </c>
      <c r="D141" s="17">
        <f t="shared" si="18"/>
        <v>6</v>
      </c>
      <c r="E141" s="56">
        <f t="shared" si="19"/>
        <v>36</v>
      </c>
      <c r="F141" s="42">
        <f t="shared" si="20"/>
        <v>64</v>
      </c>
    </row>
    <row r="142" spans="1:10" x14ac:dyDescent="0.25">
      <c r="A142" s="17">
        <v>1</v>
      </c>
      <c r="B142" s="17">
        <v>62</v>
      </c>
      <c r="C142" s="39">
        <v>69</v>
      </c>
      <c r="D142" s="17">
        <f t="shared" si="18"/>
        <v>-7</v>
      </c>
      <c r="E142" s="56">
        <f t="shared" si="19"/>
        <v>49</v>
      </c>
      <c r="F142" s="42">
        <f t="shared" si="20"/>
        <v>169</v>
      </c>
    </row>
    <row r="143" spans="1:10" x14ac:dyDescent="0.25">
      <c r="A143" s="17">
        <v>1</v>
      </c>
      <c r="B143" s="17">
        <v>73</v>
      </c>
      <c r="C143" s="39">
        <v>69</v>
      </c>
      <c r="D143" s="17">
        <f t="shared" si="18"/>
        <v>4</v>
      </c>
      <c r="E143" s="56">
        <f t="shared" si="19"/>
        <v>16</v>
      </c>
      <c r="F143" s="42">
        <f t="shared" si="20"/>
        <v>121</v>
      </c>
    </row>
    <row r="144" spans="1:10" x14ac:dyDescent="0.25">
      <c r="A144" s="17">
        <v>2</v>
      </c>
      <c r="B144" s="17">
        <v>55</v>
      </c>
      <c r="C144" s="39">
        <v>59.16</v>
      </c>
      <c r="D144" s="17">
        <f t="shared" si="18"/>
        <v>-4.1599999999999966</v>
      </c>
      <c r="E144" s="56">
        <f t="shared" si="19"/>
        <v>17.30559999999997</v>
      </c>
      <c r="F144" s="42">
        <f t="shared" si="20"/>
        <v>66.585599999999943</v>
      </c>
    </row>
    <row r="145" spans="1:8" x14ac:dyDescent="0.25">
      <c r="A145" s="17">
        <v>2</v>
      </c>
      <c r="B145" s="17">
        <v>59</v>
      </c>
      <c r="C145" s="39">
        <v>59.16</v>
      </c>
      <c r="D145" s="17">
        <f t="shared" si="18"/>
        <v>-0.15999999999999659</v>
      </c>
      <c r="E145" s="56">
        <f t="shared" si="19"/>
        <v>2.5599999999998908E-2</v>
      </c>
      <c r="F145" s="42">
        <f t="shared" si="20"/>
        <v>16</v>
      </c>
    </row>
    <row r="146" spans="1:8" x14ac:dyDescent="0.25">
      <c r="A146" s="17">
        <v>2</v>
      </c>
      <c r="B146" s="17">
        <v>68</v>
      </c>
      <c r="C146" s="39">
        <v>59.16</v>
      </c>
      <c r="D146" s="17">
        <f t="shared" si="18"/>
        <v>8.8400000000000034</v>
      </c>
      <c r="E146" s="56">
        <f t="shared" si="19"/>
        <v>78.145600000000059</v>
      </c>
      <c r="F146" s="42">
        <f t="shared" si="20"/>
        <v>81</v>
      </c>
    </row>
    <row r="147" spans="1:8" x14ac:dyDescent="0.25">
      <c r="A147" s="17">
        <v>2</v>
      </c>
      <c r="B147" s="17">
        <v>70</v>
      </c>
      <c r="C147" s="39">
        <v>59.16</v>
      </c>
      <c r="D147" s="17">
        <f t="shared" si="18"/>
        <v>10.840000000000003</v>
      </c>
      <c r="E147" s="56">
        <f t="shared" si="19"/>
        <v>117.50560000000007</v>
      </c>
      <c r="F147" s="42">
        <f t="shared" si="20"/>
        <v>4</v>
      </c>
      <c r="G147" s="33" t="s">
        <v>47</v>
      </c>
      <c r="H147" s="33">
        <f>F156/E156</f>
        <v>2.0489658362103746</v>
      </c>
    </row>
    <row r="148" spans="1:8" x14ac:dyDescent="0.25">
      <c r="A148" s="17">
        <v>2</v>
      </c>
      <c r="B148" s="17">
        <v>53</v>
      </c>
      <c r="C148" s="39">
        <v>59.16</v>
      </c>
      <c r="D148" s="17">
        <f t="shared" si="18"/>
        <v>-6.1599999999999966</v>
      </c>
      <c r="E148" s="56">
        <f t="shared" si="19"/>
        <v>37.945599999999956</v>
      </c>
      <c r="F148" s="42">
        <f t="shared" si="20"/>
        <v>289</v>
      </c>
    </row>
    <row r="149" spans="1:8" x14ac:dyDescent="0.25">
      <c r="A149" s="17">
        <v>2</v>
      </c>
      <c r="B149" s="17">
        <v>50</v>
      </c>
      <c r="C149" s="39">
        <v>59.16</v>
      </c>
      <c r="D149" s="17">
        <f t="shared" si="18"/>
        <v>-9.1599999999999966</v>
      </c>
      <c r="E149" s="56">
        <f t="shared" si="19"/>
        <v>83.905599999999936</v>
      </c>
      <c r="F149" s="42">
        <f t="shared" si="20"/>
        <v>9</v>
      </c>
      <c r="G149" s="18" t="s">
        <v>51</v>
      </c>
      <c r="H149" s="18">
        <v>0.93</v>
      </c>
    </row>
    <row r="150" spans="1:8" x14ac:dyDescent="0.25">
      <c r="A150" s="17">
        <v>3</v>
      </c>
      <c r="B150" s="17">
        <v>64</v>
      </c>
      <c r="C150" s="39">
        <v>62.83</v>
      </c>
      <c r="D150" s="17">
        <f t="shared" si="18"/>
        <v>1.1700000000000017</v>
      </c>
      <c r="E150" s="56">
        <f t="shared" si="19"/>
        <v>1.368900000000004</v>
      </c>
      <c r="F150" s="42">
        <f t="shared" si="20"/>
        <v>106.70889999999997</v>
      </c>
      <c r="G150" s="18" t="s">
        <v>52</v>
      </c>
      <c r="H150" s="18">
        <v>1.69</v>
      </c>
    </row>
    <row r="151" spans="1:8" x14ac:dyDescent="0.25">
      <c r="A151" s="17">
        <v>3</v>
      </c>
      <c r="B151" s="17">
        <v>74</v>
      </c>
      <c r="C151" s="39">
        <v>62.83</v>
      </c>
      <c r="D151" s="17">
        <f t="shared" si="18"/>
        <v>11.170000000000002</v>
      </c>
      <c r="E151" s="56">
        <f t="shared" si="19"/>
        <v>124.76890000000004</v>
      </c>
      <c r="F151" s="42">
        <f t="shared" si="20"/>
        <v>100</v>
      </c>
    </row>
    <row r="152" spans="1:8" x14ac:dyDescent="0.25">
      <c r="A152" s="17">
        <v>3</v>
      </c>
      <c r="B152" s="17">
        <v>61</v>
      </c>
      <c r="C152" s="39">
        <v>62.83</v>
      </c>
      <c r="D152" s="17">
        <f t="shared" si="18"/>
        <v>-1.8299999999999983</v>
      </c>
      <c r="E152" s="56">
        <f t="shared" si="19"/>
        <v>3.3488999999999938</v>
      </c>
      <c r="F152" s="42">
        <f t="shared" si="20"/>
        <v>169</v>
      </c>
    </row>
    <row r="153" spans="1:8" x14ac:dyDescent="0.25">
      <c r="A153" s="17">
        <v>3</v>
      </c>
      <c r="B153" s="17">
        <v>58</v>
      </c>
      <c r="C153" s="39">
        <v>62.83</v>
      </c>
      <c r="D153" s="17">
        <f t="shared" si="18"/>
        <v>-4.8299999999999983</v>
      </c>
      <c r="E153" s="56">
        <f t="shared" si="19"/>
        <v>23.328899999999983</v>
      </c>
      <c r="F153" s="42">
        <f t="shared" si="20"/>
        <v>9</v>
      </c>
      <c r="G153" t="s">
        <v>150</v>
      </c>
    </row>
    <row r="154" spans="1:8" x14ac:dyDescent="0.25">
      <c r="A154" s="17">
        <v>3</v>
      </c>
      <c r="B154" s="17">
        <v>51</v>
      </c>
      <c r="C154" s="39">
        <v>62.83</v>
      </c>
      <c r="D154" s="17">
        <f t="shared" si="18"/>
        <v>-11.829999999999998</v>
      </c>
      <c r="E154" s="56">
        <f t="shared" si="19"/>
        <v>139.94889999999995</v>
      </c>
      <c r="F154" s="42">
        <f t="shared" si="20"/>
        <v>49</v>
      </c>
    </row>
    <row r="155" spans="1:8" x14ac:dyDescent="0.25">
      <c r="A155" s="17">
        <v>3</v>
      </c>
      <c r="B155" s="17">
        <v>69</v>
      </c>
      <c r="C155" s="39">
        <v>62.83</v>
      </c>
      <c r="D155" s="17">
        <f t="shared" si="18"/>
        <v>6.1700000000000017</v>
      </c>
      <c r="E155" s="56">
        <f t="shared" si="19"/>
        <v>38.068900000000021</v>
      </c>
      <c r="F155" s="42">
        <f t="shared" si="20"/>
        <v>324</v>
      </c>
    </row>
    <row r="156" spans="1:8" x14ac:dyDescent="0.25">
      <c r="D156" s="95" t="s">
        <v>147</v>
      </c>
      <c r="E156" s="96">
        <f>SUM(E138:E155)</f>
        <v>795.66699999999992</v>
      </c>
      <c r="F156" s="96">
        <f>SUM(F138:F155)</f>
        <v>1630.2945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Ej_norm</vt:lpstr>
      <vt:lpstr>Ej_homc</vt:lpstr>
      <vt:lpstr>Ejerc</vt:lpstr>
      <vt:lpstr>Indep</vt:lpstr>
      <vt:lpstr>Durbin_W</vt:lpstr>
      <vt:lpstr>Ejerc_compl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2020-05-25T21:58:01Z</dcterms:created>
  <dcterms:modified xsi:type="dcterms:W3CDTF">2025-05-07T17:59:40Z</dcterms:modified>
</cp:coreProperties>
</file>